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tabRatio="919" activeTab="1"/>
  </bookViews>
  <sheets>
    <sheet name="收支总表" sheetId="1" r:id="rId1"/>
    <sheet name="收入调整 (2)" sheetId="2" r:id="rId2"/>
    <sheet name="2023年支出调整项目" sheetId="3" r:id="rId3"/>
    <sheet name="基金预算" sheetId="4" r:id="rId4"/>
    <sheet name="新增债券资金安排预算表" sheetId="5" r:id="rId5"/>
    <sheet name="本级资金预算调整" sheetId="6" r:id="rId6"/>
  </sheets>
  <definedNames>
    <definedName name="_xlnm.Print_Titles" localSheetId="5">'本级资金预算调整'!$1:$5</definedName>
    <definedName name="_xlnm.Print_Titles" localSheetId="0">'收支总表'!$1:$4</definedName>
    <definedName name="_xlnm.Print_Titles" localSheetId="4">'新增债券资金安排预算表'!$1:$2</definedName>
    <definedName name="_xlnm.Print_Titles" localSheetId="3">'基金预算'!$1:$4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<sst xmlns="http://schemas.openxmlformats.org/spreadsheetml/2006/main" count="464" uniqueCount="334">
  <si>
    <r>
      <t>2023</t>
    </r>
    <r>
      <rPr>
        <b/>
        <sz val="16"/>
        <rFont val="黑体"/>
        <family val="3"/>
      </rPr>
      <t>年财政一般预算调整平衡表</t>
    </r>
    <r>
      <rPr>
        <b/>
        <sz val="16"/>
        <rFont val="Times New Roman"/>
        <family val="1"/>
      </rPr>
      <t>(</t>
    </r>
    <r>
      <rPr>
        <b/>
        <sz val="16"/>
        <rFont val="黑体"/>
        <family val="3"/>
      </rPr>
      <t>草案</t>
    </r>
    <r>
      <rPr>
        <b/>
        <sz val="16"/>
        <rFont val="Times New Roman"/>
        <family val="1"/>
      </rPr>
      <t>)</t>
    </r>
  </si>
  <si>
    <t>单位：万元</t>
  </si>
  <si>
    <t>收                          入</t>
  </si>
  <si>
    <t>支                          出</t>
  </si>
  <si>
    <t>2022年1-9月已支出</t>
  </si>
  <si>
    <t>占预算比</t>
  </si>
  <si>
    <t>项          目</t>
  </si>
  <si>
    <t>年初预算数</t>
  </si>
  <si>
    <t>增减（+、-）</t>
  </si>
  <si>
    <t>预算调整（+-）</t>
  </si>
  <si>
    <t>增减后预算数</t>
  </si>
  <si>
    <t>上年结转</t>
  </si>
  <si>
    <t>动支预备费</t>
  </si>
  <si>
    <t>上级专款</t>
  </si>
  <si>
    <t>一般转移支付</t>
  </si>
  <si>
    <t>资源枯竭增资</t>
  </si>
  <si>
    <t>债券资金</t>
  </si>
  <si>
    <t>年初预留缺口</t>
  </si>
  <si>
    <t>非税返还</t>
  </si>
  <si>
    <t>工资津补贴提标</t>
  </si>
  <si>
    <t>税收返还</t>
  </si>
  <si>
    <t>国有资产返还</t>
  </si>
  <si>
    <t>直达资金（特殊转移支付和财力性转移支付）</t>
  </si>
  <si>
    <t>本级资金安排调整2</t>
  </si>
  <si>
    <t>一、税收收入</t>
  </si>
  <si>
    <t>一、一般公共服务</t>
  </si>
  <si>
    <t xml:space="preserve">    增值税</t>
  </si>
  <si>
    <t>二、外交</t>
  </si>
  <si>
    <t xml:space="preserve">    企业所得税</t>
  </si>
  <si>
    <t>三、国防</t>
  </si>
  <si>
    <t xml:space="preserve">    个人所得税</t>
  </si>
  <si>
    <t>四、公共安全</t>
  </si>
  <si>
    <t xml:space="preserve">    资源税</t>
  </si>
  <si>
    <t>五、教育</t>
  </si>
  <si>
    <t xml:space="preserve">    城市维护建设税</t>
  </si>
  <si>
    <t>六、科学技术</t>
  </si>
  <si>
    <t xml:space="preserve">    房产税</t>
  </si>
  <si>
    <t>七、文化体育与传媒</t>
  </si>
  <si>
    <t xml:space="preserve">    印花税</t>
  </si>
  <si>
    <t>八、社会保障和就业</t>
  </si>
  <si>
    <t xml:space="preserve">    城镇土地使用税</t>
  </si>
  <si>
    <t>九、医疗卫生</t>
  </si>
  <si>
    <t xml:space="preserve">    土地增值税</t>
  </si>
  <si>
    <t>十、节能环保</t>
  </si>
  <si>
    <t xml:space="preserve">    车船使用和牌照税</t>
  </si>
  <si>
    <t>十一、城乡社区事务</t>
  </si>
  <si>
    <t xml:space="preserve">    烟叶税</t>
  </si>
  <si>
    <t>十二、农林水事务</t>
  </si>
  <si>
    <t xml:space="preserve">    耕地占用税</t>
  </si>
  <si>
    <t>十三、交通运输</t>
  </si>
  <si>
    <t xml:space="preserve">    契税</t>
  </si>
  <si>
    <t>十四、资源勘探工业信息象等支出</t>
  </si>
  <si>
    <t xml:space="preserve">    环保税</t>
  </si>
  <si>
    <t>十五、商业服务业等事务</t>
  </si>
  <si>
    <t xml:space="preserve">    其他税收收入</t>
  </si>
  <si>
    <t>十六、金融监管等事务支出</t>
  </si>
  <si>
    <t>二、非税收入</t>
  </si>
  <si>
    <t>十七、地震灾后恢复重建支出</t>
  </si>
  <si>
    <t xml:space="preserve">    专项收入</t>
  </si>
  <si>
    <t>十八、自然资源海洋气象等</t>
  </si>
  <si>
    <t xml:space="preserve">    行政性收费收入</t>
  </si>
  <si>
    <t>十九、住房保障支出</t>
  </si>
  <si>
    <t xml:space="preserve">    罚没收入</t>
  </si>
  <si>
    <t>二十、粮油物资储备事务</t>
  </si>
  <si>
    <t xml:space="preserve">    国有资源有偿使用收入</t>
  </si>
  <si>
    <t>二十一、预备费</t>
  </si>
  <si>
    <t xml:space="preserve">    政府住房基金收入</t>
  </si>
  <si>
    <t>二十二、灾害防治与应急管理支出</t>
  </si>
  <si>
    <t xml:space="preserve">    其他收入</t>
  </si>
  <si>
    <t>二十三、其他支出</t>
  </si>
  <si>
    <t>二十二、地方政府债务还本付息支出</t>
  </si>
  <si>
    <t>一般预算收入小计</t>
  </si>
  <si>
    <t>一般预算支出小计</t>
  </si>
  <si>
    <t>上级补助收入小计</t>
  </si>
  <si>
    <t>转移性支出</t>
  </si>
  <si>
    <t xml:space="preserve">  1、 返还性收入</t>
  </si>
  <si>
    <t xml:space="preserve">   原体制上解支出</t>
  </si>
  <si>
    <t xml:space="preserve">   增值税和消费税税收返还收入 </t>
  </si>
  <si>
    <t xml:space="preserve">   出口退税专项上解支出</t>
  </si>
  <si>
    <t xml:space="preserve">   所得税基数返还收入</t>
  </si>
  <si>
    <t xml:space="preserve">   体制结算上解</t>
  </si>
  <si>
    <t xml:space="preserve">   成品油价格和税费改革税收返还收入</t>
  </si>
  <si>
    <t xml:space="preserve">   专项上解支出</t>
  </si>
  <si>
    <t xml:space="preserve">   其他税收返还收入</t>
  </si>
  <si>
    <t xml:space="preserve">   </t>
  </si>
  <si>
    <t xml:space="preserve">  2、一般性转移支付收入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</si>
  <si>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</si>
  <si>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</si>
  <si>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</si>
  <si>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</si>
  <si>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>债务还本支出</t>
  </si>
  <si>
    <t xml:space="preserve">    城乡义务教育转移支付收入</t>
  </si>
  <si>
    <t xml:space="preserve">    企业事业单位划转补助收入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</si>
  <si>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</si>
  <si>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</si>
  <si>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</si>
  <si>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结余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</si>
  <si>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</si>
  <si>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</si>
  <si>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</si>
  <si>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农业转移人口市民化奖励</t>
  </si>
  <si>
    <t xml:space="preserve">    巩固脱贫攻坚成果衔接乡村振兴转移支付收入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</si>
  <si>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</si>
  <si>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</si>
  <si>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</si>
  <si>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</si>
  <si>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</si>
  <si>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</si>
  <si>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</si>
  <si>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</si>
  <si>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</si>
  <si>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</si>
  <si>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</si>
  <si>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灾害防治及应急管理共同财政事权转移支出 </t>
  </si>
  <si>
    <t xml:space="preserve">    增值税留抵退税转移支付支出</t>
  </si>
  <si>
    <t xml:space="preserve">    其他退税减税降费转移支付支出</t>
  </si>
  <si>
    <t xml:space="preserve">    其他共同财政事权转移支付收入</t>
  </si>
  <si>
    <t xml:space="preserve">    其他一般性转移支付收入</t>
  </si>
  <si>
    <t xml:space="preserve">  3、专项转移支付补助收入</t>
  </si>
  <si>
    <t>地方政府债券收入</t>
  </si>
  <si>
    <r>
      <t>债务</t>
    </r>
    <r>
      <rPr>
        <b/>
        <sz val="10"/>
        <rFont val="宋体"/>
        <family val="0"/>
      </rPr>
      <t>转贷收入</t>
    </r>
  </si>
  <si>
    <t>上年结余</t>
  </si>
  <si>
    <t>政府性基金调入</t>
  </si>
  <si>
    <t>收  入  合  计</t>
  </si>
  <si>
    <t>支出合计</t>
  </si>
  <si>
    <t>常宁市2023年一般预算收入调整方案（草案）</t>
  </si>
  <si>
    <t>收入项目</t>
  </si>
  <si>
    <t>财政总收入</t>
  </si>
  <si>
    <t>备注</t>
  </si>
  <si>
    <t>年初预算</t>
  </si>
  <si>
    <t>上年完成</t>
  </si>
  <si>
    <t>1-11月完成数</t>
  </si>
  <si>
    <t>占年度预算</t>
  </si>
  <si>
    <t>增减(+、-)</t>
  </si>
  <si>
    <t>增减后预算</t>
  </si>
  <si>
    <t>增长</t>
  </si>
  <si>
    <t xml:space="preserve">  一、税收收入</t>
  </si>
  <si>
    <t xml:space="preserve">  二、非税收入</t>
  </si>
  <si>
    <t>其中税务部门6000万元</t>
  </si>
  <si>
    <t xml:space="preserve">       教育费附加收入</t>
  </si>
  <si>
    <t xml:space="preserve">       地方教育附加收入</t>
  </si>
  <si>
    <t xml:space="preserve">       残疾人就业保障金收入</t>
  </si>
  <si>
    <t xml:space="preserve">       水利建设专项收入</t>
  </si>
  <si>
    <t xml:space="preserve">       教育资金收入</t>
  </si>
  <si>
    <t xml:space="preserve">       农田水利建设资金收入</t>
  </si>
  <si>
    <t xml:space="preserve">       森林植被恢复费</t>
  </si>
  <si>
    <t xml:space="preserve">       政府住房基金收入</t>
  </si>
  <si>
    <t xml:space="preserve">    国有资本经营收入</t>
  </si>
  <si>
    <t>地方收入合计</t>
  </si>
  <si>
    <t>上划中央收入</t>
  </si>
  <si>
    <t xml:space="preserve">    上划中央“两税”</t>
  </si>
  <si>
    <t xml:space="preserve">    上划中央企业所得税</t>
  </si>
  <si>
    <t xml:space="preserve">    上划中央个人所得税</t>
  </si>
  <si>
    <t xml:space="preserve">    上划中央车辆购置税</t>
  </si>
  <si>
    <t>上划省级收入</t>
  </si>
  <si>
    <t xml:space="preserve">    上划省级增值税</t>
  </si>
  <si>
    <t xml:space="preserve">    上划省级企业所得税</t>
  </si>
  <si>
    <t xml:space="preserve">    上划省级个人所得税</t>
  </si>
  <si>
    <t xml:space="preserve">    上划省级资源税</t>
  </si>
  <si>
    <t xml:space="preserve">    上划省级城镇土地使用税</t>
  </si>
  <si>
    <t xml:space="preserve">    上划省级环保税</t>
  </si>
  <si>
    <t>一般公共预算收入合计</t>
  </si>
  <si>
    <t xml:space="preserve">  税务部门收入</t>
  </si>
  <si>
    <t xml:space="preserve">  财政部门收入</t>
  </si>
  <si>
    <t>一般公共预算收入税占比</t>
  </si>
  <si>
    <t>地方收入税占比</t>
  </si>
  <si>
    <t>常宁市2023年一般预算支出调整汇总表（草案）</t>
  </si>
  <si>
    <t>类</t>
  </si>
  <si>
    <t>科目编码</t>
  </si>
  <si>
    <t>单位名称</t>
  </si>
  <si>
    <t>文号</t>
  </si>
  <si>
    <t>制单日期</t>
  </si>
  <si>
    <t>处室</t>
  </si>
  <si>
    <t>科目代码</t>
  </si>
  <si>
    <t>项目</t>
  </si>
  <si>
    <t>合计</t>
  </si>
  <si>
    <t xml:space="preserve">    返还性收入</t>
  </si>
  <si>
    <t>新增一般性转移支付资金</t>
  </si>
  <si>
    <t>新增专项转移支付资金</t>
  </si>
  <si>
    <t>地方政府一般债券资金</t>
  </si>
  <si>
    <t>本级一般公共预算支出调整</t>
  </si>
  <si>
    <t>专项上解支出</t>
  </si>
  <si>
    <t>结余</t>
  </si>
  <si>
    <t>上年结转支出</t>
  </si>
  <si>
    <t>2023年常宁市政府性基金预算收支调整方案（草案）</t>
  </si>
  <si>
    <t>收      入</t>
  </si>
  <si>
    <t>支      出</t>
  </si>
  <si>
    <t>项    目</t>
  </si>
  <si>
    <t>一、地方政府性基金收入</t>
  </si>
  <si>
    <t>一、地方政府性基金支出</t>
  </si>
  <si>
    <t xml:space="preserve">   国有土地使用权出让金收入</t>
  </si>
  <si>
    <t xml:space="preserve">   文化旅游体育与传媒支出</t>
  </si>
  <si>
    <t xml:space="preserve">   国有土地收益基金收入</t>
  </si>
  <si>
    <t xml:space="preserve">   大中型水库移民后期扶持基金支出</t>
  </si>
  <si>
    <t xml:space="preserve">   农业土地开发资金收入</t>
  </si>
  <si>
    <t xml:space="preserve">   国有土地使用权出让收入及对应专项债务收入安排的支出</t>
  </si>
  <si>
    <t xml:space="preserve">   城市基础设施配套费收入</t>
  </si>
  <si>
    <t xml:space="preserve">   国有土地收益基金及对应专项债务收入安排的支出</t>
  </si>
  <si>
    <t xml:space="preserve">   污水处理费收入</t>
  </si>
  <si>
    <t xml:space="preserve">   农业土地开发资金及对应专项债务收入安排的支出</t>
  </si>
  <si>
    <t xml:space="preserve">   大中型水库移民后期扶持基金收入</t>
  </si>
  <si>
    <t xml:space="preserve">   棚户区改造专项债券收入安排的支出</t>
  </si>
  <si>
    <t xml:space="preserve">   彩票公益金收入</t>
  </si>
  <si>
    <t xml:space="preserve">   城市基础设施配套费及对应专项债务收入安排的支出</t>
  </si>
  <si>
    <t xml:space="preserve">   其他政府性基金收入</t>
  </si>
  <si>
    <t xml:space="preserve">   污水处理费及对应专项债务收入安排的支出</t>
  </si>
  <si>
    <t xml:space="preserve">   铁路建设基金支出</t>
  </si>
  <si>
    <t xml:space="preserve">   土地储备专项债券收入安排的支出</t>
  </si>
  <si>
    <t xml:space="preserve">   国有土地使用权出让金债务付息支出</t>
  </si>
  <si>
    <t xml:space="preserve">   彩票公益金支出</t>
  </si>
  <si>
    <t xml:space="preserve">   其他地方自行试点项目收益专项债券收入安排的支出</t>
  </si>
  <si>
    <t>二、政府专项债券收入</t>
  </si>
  <si>
    <t>二、专项债券还本付息支出</t>
  </si>
  <si>
    <t>三、政府性基金上级补助收入</t>
  </si>
  <si>
    <t>三、政府性基金上解支出</t>
  </si>
  <si>
    <t>四、债务转贷收入</t>
  </si>
  <si>
    <t>四、调出资金</t>
  </si>
  <si>
    <t>五、政府性基金上年结余</t>
  </si>
  <si>
    <t>五、政府性基金结余</t>
  </si>
  <si>
    <t xml:space="preserve">      其中：结转下年支出</t>
  </si>
  <si>
    <t>收入合计</t>
  </si>
  <si>
    <t>附表1：</t>
  </si>
  <si>
    <t>2023年新增债券资金安排方案（草案）</t>
  </si>
  <si>
    <t xml:space="preserve">                  单位：万元</t>
  </si>
  <si>
    <t>类别</t>
  </si>
  <si>
    <t>功能科目</t>
  </si>
  <si>
    <t>预算单位名称</t>
  </si>
  <si>
    <t>摘要用途</t>
  </si>
  <si>
    <t>建议安排金额</t>
  </si>
  <si>
    <t>是否下达</t>
  </si>
  <si>
    <t>一般债券</t>
  </si>
  <si>
    <t>小计</t>
  </si>
  <si>
    <t>疾病预防控制机构</t>
  </si>
  <si>
    <t>常宁市疾病预防控制中心综合大楼建设项目</t>
  </si>
  <si>
    <t>公路建设</t>
  </si>
  <si>
    <t>乡村公路服务所</t>
  </si>
  <si>
    <t>常宁大桥拆除重建</t>
  </si>
  <si>
    <t>已下达</t>
  </si>
  <si>
    <t>小学教育</t>
  </si>
  <si>
    <t>常宁市教育技术装备站中小学多媒体教室全覆盖建设</t>
  </si>
  <si>
    <t>其他消防救援事务支出</t>
  </si>
  <si>
    <t>乡村振兴局</t>
  </si>
  <si>
    <t>常宁市培元消防站建设</t>
  </si>
  <si>
    <t>公路养护</t>
  </si>
  <si>
    <t>农村公路大中修</t>
  </si>
  <si>
    <t>旅游资源产业路工程</t>
  </si>
  <si>
    <t>新村与撤并村便捷连通路工程</t>
  </si>
  <si>
    <t>水体</t>
  </si>
  <si>
    <t>湘江流域存量垃圾综合治理项目</t>
  </si>
  <si>
    <t>水利工程建设</t>
  </si>
  <si>
    <t>小水库除险加固</t>
  </si>
  <si>
    <t>常宁大桥改造</t>
  </si>
  <si>
    <t>全市消防栓改造及市政泵站项目</t>
  </si>
  <si>
    <t>西二环莲花片区污水处理项目</t>
  </si>
  <si>
    <t>城乡社区环境卫生</t>
  </si>
  <si>
    <t>仙岭垃圾场扩库增容及渗漏液处置</t>
  </si>
  <si>
    <t>经开区环卫设施提升项目</t>
  </si>
  <si>
    <t>专项债券</t>
  </si>
  <si>
    <t>其他地方自行试点项目收益专项债券收入安排的支出</t>
  </si>
  <si>
    <t>人民医院扩建工程项目</t>
  </si>
  <si>
    <t>湘南纺织产业基地服饰园环保园（一期）建设项目</t>
  </si>
  <si>
    <t>国有土地使用权出让金债务还本支出</t>
  </si>
  <si>
    <t>常宁市胜桥镇人民政府（置换隐性债务）</t>
  </si>
  <si>
    <t>常宁市人民政府曲潭街道办事处（置换隐性债务）</t>
  </si>
  <si>
    <t>常宁市人民政府培元街道办事处（置换隐性债务）</t>
  </si>
  <si>
    <t>常宁市人民政府泉峰街道办事处（置换隐性债务）</t>
  </si>
  <si>
    <t>常宁市人民政府宜阳街道办事处（置换隐性债务）</t>
  </si>
  <si>
    <t>附表2</t>
  </si>
  <si>
    <t>附表2：</t>
  </si>
  <si>
    <t>2023年一般公共预算支出调整明细（草案）</t>
  </si>
  <si>
    <t xml:space="preserve">           单位：万元</t>
  </si>
  <si>
    <t>资金管理部门</t>
  </si>
  <si>
    <t>项目内容</t>
  </si>
  <si>
    <t>申请金额</t>
  </si>
  <si>
    <t>申请安排金额</t>
  </si>
  <si>
    <t>压减金额</t>
  </si>
  <si>
    <t>资金来源</t>
  </si>
  <si>
    <t>部门经济科目</t>
  </si>
  <si>
    <t>指标文号</t>
  </si>
  <si>
    <t>指标层次</t>
  </si>
  <si>
    <t>财政拔款</t>
  </si>
  <si>
    <t>本级财力</t>
  </si>
  <si>
    <t>一般公共服务支出</t>
  </si>
  <si>
    <t>其他一般公共服务支出</t>
  </si>
  <si>
    <t>预备费</t>
  </si>
  <si>
    <t>征收经费及协税护税奖励</t>
  </si>
  <si>
    <t>PPP项目支出责任</t>
  </si>
  <si>
    <t>教育支出</t>
  </si>
  <si>
    <t>普通教育</t>
  </si>
  <si>
    <t>多媒体教室</t>
  </si>
  <si>
    <t>其他教育支出</t>
  </si>
  <si>
    <t>教育发展支出</t>
  </si>
  <si>
    <t>社会保障和就业支出</t>
  </si>
  <si>
    <t>行政事业单位养老支出</t>
  </si>
  <si>
    <t>事业单位离退休</t>
  </si>
  <si>
    <t>机关事业单位职业年金缴费支出</t>
  </si>
  <si>
    <t>五类人员退费及职业年金纪实补纪</t>
  </si>
  <si>
    <t>卫生健康支出</t>
  </si>
  <si>
    <t>公共卫生</t>
  </si>
  <si>
    <t>疾病预防控制中心综合大楼项目</t>
  </si>
  <si>
    <t>新增</t>
  </si>
  <si>
    <t>突发公共卫生事件应急处理</t>
  </si>
  <si>
    <t>新冠疫情防控支出</t>
  </si>
  <si>
    <t>财政对基本医疗保险基金的补助</t>
  </si>
  <si>
    <t>新增提标</t>
  </si>
  <si>
    <t>财政城乡居民基本医疗保险基金的补助</t>
  </si>
  <si>
    <t>城乡居民基本医疗保险</t>
  </si>
  <si>
    <t>节能环保支出</t>
  </si>
  <si>
    <t>污染防治</t>
  </si>
  <si>
    <t>污水处理费</t>
  </si>
  <si>
    <t>其他污染防治支出</t>
  </si>
  <si>
    <t>重金属污染治理本级配套</t>
  </si>
  <si>
    <t>城乡社区支出</t>
  </si>
  <si>
    <t>仙岭垃圾填埋场一期A区扩库增容应急项目</t>
  </si>
  <si>
    <t>其他城乡社区支出</t>
  </si>
  <si>
    <t>城乡治理标准化及文明城市创建</t>
  </si>
  <si>
    <t>农林水支出</t>
  </si>
  <si>
    <t>农业农村</t>
  </si>
  <si>
    <t>其他农业农村支出</t>
  </si>
  <si>
    <t>原种场、农科所改制资金</t>
  </si>
  <si>
    <t>水利</t>
  </si>
  <si>
    <t>（追加）</t>
  </si>
  <si>
    <t>其他水利支出</t>
  </si>
  <si>
    <t>祁东东升建材有限公司沙场拆迁补偿资金</t>
  </si>
  <si>
    <t>交通运输支出</t>
  </si>
  <si>
    <t>公路水路运输</t>
  </si>
  <si>
    <t>通村组路</t>
  </si>
  <si>
    <t>常宁大桥</t>
  </si>
  <si>
    <t>灾害防治及应急管理支出</t>
  </si>
  <si>
    <t>消防救援事务</t>
  </si>
  <si>
    <t>培元消防站建设</t>
  </si>
  <si>
    <t>其他支出</t>
  </si>
  <si>
    <t>年初预留</t>
  </si>
  <si>
    <t>预留绩效工资社保缴费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</si>
</sst>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  <numFmt numFmtId="181" formatCode="yyyy/mm/dd"/>
    <numFmt numFmtId="182" formatCode="#,##0.00_ "/>
    <numFmt numFmtId="183" formatCode="0.00_);[Red]\(0.00\)"/>
    <numFmt numFmtId="184" formatCode="#,##0_ "/>
    <numFmt numFmtId="185" formatCode="0_ "/>
    <numFmt numFmtId="186" formatCode="0_);[Red]\(0\)"/>
  </numFmts>
  <fonts count="52">
    <font>
      <sz val="9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9"/>
      <name val="SimSun"/>
      <family val="0"/>
    </font>
    <font>
      <b/>
      <sz val="16"/>
      <name val="宋体"/>
      <family val="0"/>
    </font>
    <font>
      <b/>
      <u val="single"/>
      <sz val="9"/>
      <name val="SimSun"/>
      <family val="0"/>
    </font>
    <font>
      <sz val="11"/>
      <name val="宋体"/>
      <family val="0"/>
    </font>
    <font>
      <sz val="9"/>
      <name val="SimSun"/>
      <family val="0"/>
    </font>
    <font>
      <u val="single"/>
      <sz val="9"/>
      <name val="SimSun"/>
      <family val="0"/>
    </font>
    <font>
      <b/>
      <sz val="10"/>
      <name val="宋体"/>
      <family val="0"/>
    </font>
    <font>
      <b/>
      <sz val="10"/>
      <color indexed="10"/>
      <name val="SimSun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SimSun"/>
      <family val="0"/>
    </font>
    <font>
      <sz val="10"/>
      <name val="SimSun"/>
      <family val="0"/>
    </font>
    <font>
      <b/>
      <sz val="12"/>
      <name val="仿宋_GB2312"/>
      <family val="0"/>
    </font>
    <font>
      <b/>
      <sz val="10"/>
      <name val="幼圆"/>
      <family val="3"/>
    </font>
    <font>
      <b/>
      <sz val="16"/>
      <name val="黑体"/>
      <family val="3"/>
    </font>
    <font>
      <b/>
      <sz val="10"/>
      <name val="仿宋_GB2312"/>
      <family val="0"/>
    </font>
    <font>
      <b/>
      <sz val="16"/>
      <color indexed="10"/>
      <name val="黑体"/>
      <family val="3"/>
    </font>
    <font>
      <b/>
      <sz val="10"/>
      <color indexed="10"/>
      <name val="仿宋_GB2312"/>
      <family val="0"/>
    </font>
    <font>
      <sz val="10"/>
      <name val="仿宋_GB2312"/>
      <family val="0"/>
    </font>
    <font>
      <sz val="10"/>
      <name val="幼圆"/>
      <family val="3"/>
    </font>
    <font>
      <b/>
      <sz val="10"/>
      <color indexed="10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7" borderId="0" applyNumberFormat="0" applyBorder="0" applyAlignment="0" applyProtection="0"/>
    <xf numFmtId="0" fontId="37" fillId="0" borderId="4" applyNumberFormat="0" applyFill="0" applyAlignment="0" applyProtection="0"/>
    <xf numFmtId="0" fontId="34" fillId="3" borderId="0" applyNumberFormat="0" applyBorder="0" applyAlignment="0" applyProtection="0"/>
    <xf numFmtId="0" fontId="43" fillId="2" borderId="5" applyNumberFormat="0" applyAlignment="0" applyProtection="0"/>
    <xf numFmtId="0" fontId="44" fillId="2" borderId="1" applyNumberFormat="0" applyAlignment="0" applyProtection="0"/>
    <xf numFmtId="0" fontId="45" fillId="8" borderId="6" applyNumberFormat="0" applyAlignment="0" applyProtection="0"/>
    <xf numFmtId="0" fontId="31" fillId="9" borderId="0" applyNumberFormat="0" applyBorder="0" applyAlignment="0" applyProtection="0"/>
    <xf numFmtId="0" fontId="34" fillId="1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9" borderId="0" applyNumberFormat="0" applyBorder="0" applyAlignment="0" applyProtection="0"/>
    <xf numFmtId="0" fontId="49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4" fillId="16" borderId="0" applyNumberFormat="0" applyBorder="0" applyAlignment="0" applyProtection="0"/>
    <xf numFmtId="0" fontId="31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 vertical="center"/>
      <protection/>
    </xf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</cellStyleXfs>
  <cellXfs count="310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wrapText="1" shrinkToFi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 shrinkToFit="1"/>
    </xf>
    <xf numFmtId="0" fontId="0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vertical="center" wrapText="1"/>
    </xf>
    <xf numFmtId="181" fontId="10" fillId="6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5" fillId="0" borderId="0" xfId="0" applyNumberFormat="1" applyFont="1" applyFill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/>
    </xf>
    <xf numFmtId="180" fontId="10" fillId="7" borderId="10" xfId="0" applyNumberFormat="1" applyFont="1" applyFill="1" applyBorder="1" applyAlignment="1">
      <alignment horizontal="center" vertical="center" wrapText="1"/>
    </xf>
    <xf numFmtId="183" fontId="10" fillId="7" borderId="10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182" fontId="10" fillId="6" borderId="10" xfId="0" applyNumberFormat="1" applyFont="1" applyFill="1" applyBorder="1" applyAlignment="1">
      <alignment horizontal="center" vertical="center" wrapText="1"/>
    </xf>
    <xf numFmtId="183" fontId="10" fillId="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2" fontId="10" fillId="7" borderId="10" xfId="0" applyNumberFormat="1" applyFont="1" applyFill="1" applyBorder="1" applyAlignment="1">
      <alignment horizontal="center" vertical="center" wrapText="1"/>
    </xf>
    <xf numFmtId="180" fontId="10" fillId="6" borderId="1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5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185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185" fontId="14" fillId="0" borderId="24" xfId="0" applyNumberFormat="1" applyFont="1" applyBorder="1" applyAlignment="1">
      <alignment horizontal="center" vertical="center"/>
    </xf>
    <xf numFmtId="185" fontId="14" fillId="0" borderId="1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 shrinkToFit="1"/>
    </xf>
    <xf numFmtId="185" fontId="14" fillId="0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 shrinkToFit="1"/>
    </xf>
    <xf numFmtId="0" fontId="14" fillId="0" borderId="23" xfId="0" applyNumberFormat="1" applyFont="1" applyFill="1" applyBorder="1" applyAlignment="1">
      <alignment vertical="center" wrapText="1" shrinkToFit="1"/>
    </xf>
    <xf numFmtId="185" fontId="14" fillId="0" borderId="24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 shrinkToFit="1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185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185" fontId="12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185" fontId="1" fillId="0" borderId="0" xfId="0" applyNumberFormat="1" applyFont="1" applyFill="1" applyAlignment="1">
      <alignment/>
    </xf>
    <xf numFmtId="0" fontId="1" fillId="0" borderId="0" xfId="0" applyFont="1" applyAlignment="1">
      <alignment shrinkToFit="1"/>
    </xf>
    <xf numFmtId="0" fontId="22" fillId="0" borderId="0" xfId="0" applyFont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vertical="center"/>
    </xf>
    <xf numFmtId="181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vertical="center" shrinkToFit="1"/>
      <protection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18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186" fontId="12" fillId="0" borderId="29" xfId="0" applyNumberFormat="1" applyFont="1" applyFill="1" applyBorder="1" applyAlignment="1">
      <alignment vertical="center"/>
    </xf>
    <xf numFmtId="0" fontId="12" fillId="0" borderId="3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86" fontId="12" fillId="0" borderId="9" xfId="0" applyNumberFormat="1" applyFont="1" applyFill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186" fontId="12" fillId="0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186" fontId="12" fillId="0" borderId="10" xfId="0" applyNumberFormat="1" applyFont="1" applyFill="1" applyBorder="1" applyAlignment="1" applyProtection="1">
      <alignment horizontal="right" shrinkToFit="1"/>
      <protection/>
    </xf>
    <xf numFmtId="185" fontId="12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185" fontId="12" fillId="0" borderId="10" xfId="62" applyNumberFormat="1" applyFont="1" applyBorder="1" applyAlignment="1">
      <alignment vertical="center"/>
      <protection/>
    </xf>
    <xf numFmtId="185" fontId="12" fillId="0" borderId="10" xfId="62" applyNumberFormat="1" applyFont="1" applyFill="1" applyBorder="1" applyAlignment="1">
      <alignment horizontal="center" vertical="center"/>
      <protection/>
    </xf>
    <xf numFmtId="10" fontId="12" fillId="0" borderId="10" xfId="62" applyNumberFormat="1" applyFont="1" applyFill="1" applyBorder="1" applyAlignment="1">
      <alignment horizontal="center" vertical="center"/>
      <protection/>
    </xf>
    <xf numFmtId="185" fontId="14" fillId="0" borderId="10" xfId="62" applyNumberFormat="1" applyFont="1" applyBorder="1" applyAlignment="1">
      <alignment vertical="center"/>
      <protection/>
    </xf>
    <xf numFmtId="185" fontId="14" fillId="0" borderId="10" xfId="62" applyNumberFormat="1" applyFont="1" applyBorder="1" applyAlignment="1">
      <alignment horizontal="center" vertical="center"/>
      <protection/>
    </xf>
    <xf numFmtId="10" fontId="14" fillId="0" borderId="10" xfId="62" applyNumberFormat="1" applyFont="1" applyFill="1" applyBorder="1" applyAlignment="1">
      <alignment horizontal="center" vertical="center"/>
      <protection/>
    </xf>
    <xf numFmtId="185" fontId="14" fillId="0" borderId="10" xfId="62" applyNumberFormat="1" applyFont="1" applyBorder="1" applyAlignment="1">
      <alignment horizontal="center" vertical="center"/>
      <protection/>
    </xf>
    <xf numFmtId="185" fontId="14" fillId="0" borderId="10" xfId="62" applyNumberFormat="1" applyFont="1" applyFill="1" applyBorder="1" applyAlignment="1">
      <alignment horizontal="center" vertical="center"/>
      <protection/>
    </xf>
    <xf numFmtId="10" fontId="14" fillId="0" borderId="10" xfId="62" applyNumberFormat="1" applyFont="1" applyBorder="1" applyAlignment="1">
      <alignment horizontal="center" vertical="center"/>
      <protection/>
    </xf>
    <xf numFmtId="185" fontId="14" fillId="19" borderId="10" xfId="62" applyNumberFormat="1" applyFont="1" applyFill="1" applyBorder="1" applyAlignment="1">
      <alignment vertical="center"/>
      <protection/>
    </xf>
    <xf numFmtId="185" fontId="12" fillId="0" borderId="10" xfId="62" applyNumberFormat="1" applyFont="1" applyFill="1" applyBorder="1" applyAlignment="1">
      <alignment vertical="center"/>
      <protection/>
    </xf>
    <xf numFmtId="185" fontId="14" fillId="0" borderId="10" xfId="62" applyNumberFormat="1" applyFont="1" applyFill="1" applyBorder="1" applyAlignment="1">
      <alignment vertical="center"/>
      <protection/>
    </xf>
    <xf numFmtId="186" fontId="14" fillId="0" borderId="10" xfId="62" applyNumberFormat="1" applyFont="1" applyFill="1" applyBorder="1" applyAlignment="1">
      <alignment horizontal="center" vertical="center"/>
      <protection/>
    </xf>
    <xf numFmtId="10" fontId="28" fillId="0" borderId="10" xfId="62" applyNumberFormat="1" applyFont="1" applyFill="1" applyBorder="1" applyAlignment="1">
      <alignment horizontal="center" vertical="center"/>
      <protection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85" fontId="1" fillId="0" borderId="10" xfId="62" applyNumberFormat="1" applyBorder="1" applyAlignment="1">
      <alignment/>
      <protection/>
    </xf>
    <xf numFmtId="0" fontId="1" fillId="0" borderId="0" xfId="0" applyFont="1" applyAlignment="1">
      <alignment horizontal="center" vertical="center"/>
    </xf>
    <xf numFmtId="186" fontId="14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6" fontId="14" fillId="0" borderId="0" xfId="0" applyNumberFormat="1" applyFont="1" applyAlignment="1">
      <alignment shrinkToFit="1"/>
    </xf>
    <xf numFmtId="186" fontId="12" fillId="0" borderId="0" xfId="0" applyNumberFormat="1" applyFont="1" applyAlignment="1">
      <alignment shrinkToFit="1"/>
    </xf>
    <xf numFmtId="0" fontId="1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shrinkToFit="1"/>
    </xf>
    <xf numFmtId="185" fontId="1" fillId="0" borderId="0" xfId="0" applyNumberFormat="1" applyFont="1" applyFill="1" applyAlignment="1">
      <alignment horizontal="center"/>
    </xf>
    <xf numFmtId="185" fontId="1" fillId="0" borderId="0" xfId="0" applyNumberFormat="1" applyFont="1" applyAlignment="1">
      <alignment/>
    </xf>
    <xf numFmtId="186" fontId="1" fillId="0" borderId="0" xfId="0" applyNumberFormat="1" applyFont="1" applyFill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186" fontId="20" fillId="0" borderId="17" xfId="0" applyNumberFormat="1" applyFont="1" applyFill="1" applyBorder="1" applyAlignment="1">
      <alignment horizontal="center" vertical="center" wrapText="1"/>
    </xf>
    <xf numFmtId="186" fontId="23" fillId="0" borderId="17" xfId="0" applyNumberFormat="1" applyFont="1" applyBorder="1" applyAlignment="1" applyProtection="1">
      <alignment horizontal="left" vertical="center" shrinkToFit="1"/>
      <protection locked="0"/>
    </xf>
    <xf numFmtId="186" fontId="23" fillId="0" borderId="10" xfId="0" applyNumberFormat="1" applyFont="1" applyFill="1" applyBorder="1" applyAlignment="1" applyProtection="1">
      <alignment horizontal="center" vertical="center" shrinkToFit="1"/>
      <protection locked="0"/>
    </xf>
    <xf numFmtId="186" fontId="14" fillId="0" borderId="10" xfId="62" applyNumberFormat="1" applyFont="1" applyBorder="1" applyAlignment="1">
      <alignment horizontal="center" vertical="center"/>
      <protection/>
    </xf>
    <xf numFmtId="186" fontId="14" fillId="0" borderId="23" xfId="19" applyNumberFormat="1" applyFont="1" applyFill="1" applyBorder="1" applyAlignment="1">
      <alignment horizontal="left" vertical="center" shrinkToFit="1"/>
      <protection/>
    </xf>
    <xf numFmtId="186" fontId="14" fillId="0" borderId="23" xfId="19" applyNumberFormat="1" applyFont="1" applyFill="1" applyBorder="1" applyAlignment="1">
      <alignment horizontal="center" vertical="center"/>
      <protection/>
    </xf>
    <xf numFmtId="186" fontId="14" fillId="0" borderId="23" xfId="62" applyNumberFormat="1" applyFont="1" applyBorder="1" applyAlignment="1">
      <alignment vertical="center"/>
      <protection/>
    </xf>
    <xf numFmtId="186" fontId="14" fillId="0" borderId="24" xfId="62" applyNumberFormat="1" applyFont="1" applyBorder="1" applyAlignment="1">
      <alignment horizontal="center" vertical="center"/>
      <protection/>
    </xf>
    <xf numFmtId="186" fontId="14" fillId="0" borderId="10" xfId="0" applyNumberFormat="1" applyFont="1" applyBorder="1" applyAlignment="1">
      <alignment horizontal="center" vertical="center"/>
    </xf>
    <xf numFmtId="186" fontId="26" fillId="0" borderId="10" xfId="0" applyNumberFormat="1" applyFont="1" applyBorder="1" applyAlignment="1" applyProtection="1">
      <alignment horizontal="center" vertical="center" shrinkToFit="1"/>
      <protection locked="0"/>
    </xf>
    <xf numFmtId="186" fontId="23" fillId="0" borderId="10" xfId="0" applyNumberFormat="1" applyFont="1" applyBorder="1" applyAlignment="1" applyProtection="1">
      <alignment horizontal="left" vertical="center" shrinkToFit="1"/>
      <protection locked="0"/>
    </xf>
    <xf numFmtId="186" fontId="12" fillId="0" borderId="10" xfId="0" applyNumberFormat="1" applyFont="1" applyFill="1" applyBorder="1" applyAlignment="1">
      <alignment horizontal="center" vertical="center" shrinkToFit="1"/>
    </xf>
    <xf numFmtId="186" fontId="12" fillId="0" borderId="10" xfId="0" applyNumberFormat="1" applyFont="1" applyBorder="1" applyAlignment="1">
      <alignment horizontal="center" vertical="center" shrinkToFit="1"/>
    </xf>
    <xf numFmtId="186" fontId="12" fillId="0" borderId="10" xfId="0" applyNumberFormat="1" applyFont="1" applyBorder="1" applyAlignment="1">
      <alignment horizontal="center" vertical="center"/>
    </xf>
    <xf numFmtId="186" fontId="26" fillId="0" borderId="10" xfId="0" applyNumberFormat="1" applyFont="1" applyBorder="1" applyAlignment="1" applyProtection="1">
      <alignment horizontal="left" vertical="center" shrinkToFit="1"/>
      <protection locked="0"/>
    </xf>
    <xf numFmtId="186" fontId="14" fillId="0" borderId="10" xfId="0" applyNumberFormat="1" applyFont="1" applyFill="1" applyBorder="1" applyAlignment="1">
      <alignment horizontal="center" vertical="center" shrinkToFit="1"/>
    </xf>
    <xf numFmtId="186" fontId="14" fillId="0" borderId="10" xfId="0" applyNumberFormat="1" applyFont="1" applyBorder="1" applyAlignment="1">
      <alignment horizontal="center" vertical="center" shrinkToFit="1"/>
    </xf>
    <xf numFmtId="186" fontId="26" fillId="0" borderId="10" xfId="0" applyNumberFormat="1" applyFont="1" applyBorder="1" applyAlignment="1">
      <alignment horizontal="center" vertical="center" shrinkToFit="1"/>
    </xf>
    <xf numFmtId="186" fontId="26" fillId="0" borderId="10" xfId="0" applyNumberFormat="1" applyFont="1" applyBorder="1" applyAlignment="1" applyProtection="1">
      <alignment vertical="center" shrinkToFit="1"/>
      <protection locked="0"/>
    </xf>
    <xf numFmtId="186" fontId="14" fillId="0" borderId="32" xfId="62" applyNumberFormat="1" applyFont="1" applyBorder="1" applyAlignment="1">
      <alignment vertical="center"/>
      <protection/>
    </xf>
    <xf numFmtId="186" fontId="14" fillId="0" borderId="31" xfId="0" applyNumberFormat="1" applyFont="1" applyFill="1" applyBorder="1" applyAlignment="1">
      <alignment horizontal="center" vertical="center" shrinkToFit="1"/>
    </xf>
    <xf numFmtId="186" fontId="14" fillId="0" borderId="31" xfId="0" applyNumberFormat="1" applyFont="1" applyBorder="1" applyAlignment="1">
      <alignment horizontal="center" vertical="center"/>
    </xf>
    <xf numFmtId="186" fontId="14" fillId="0" borderId="31" xfId="0" applyNumberFormat="1" applyFont="1" applyBorder="1" applyAlignment="1">
      <alignment horizontal="center" vertical="center" shrinkToFit="1"/>
    </xf>
    <xf numFmtId="186" fontId="26" fillId="0" borderId="31" xfId="0" applyNumberFormat="1" applyFont="1" applyBorder="1" applyAlignment="1">
      <alignment horizontal="center" vertical="center" shrinkToFit="1"/>
    </xf>
    <xf numFmtId="186" fontId="14" fillId="0" borderId="32" xfId="19" applyNumberFormat="1" applyFont="1" applyFill="1" applyBorder="1" applyAlignment="1">
      <alignment horizontal="left" vertical="center" shrinkToFit="1"/>
      <protection/>
    </xf>
    <xf numFmtId="186" fontId="14" fillId="0" borderId="32" xfId="19" applyNumberFormat="1" applyFont="1" applyFill="1" applyBorder="1" applyAlignment="1">
      <alignment horizontal="center" vertical="center"/>
      <protection/>
    </xf>
    <xf numFmtId="186" fontId="26" fillId="0" borderId="10" xfId="0" applyNumberFormat="1" applyFont="1" applyBorder="1" applyAlignment="1">
      <alignment vertical="center" shrinkToFit="1"/>
    </xf>
    <xf numFmtId="186" fontId="14" fillId="0" borderId="10" xfId="19" applyNumberFormat="1" applyFont="1" applyFill="1" applyBorder="1" applyAlignment="1">
      <alignment horizontal="left" vertical="center" shrinkToFit="1"/>
      <protection/>
    </xf>
    <xf numFmtId="186" fontId="14" fillId="0" borderId="33" xfId="19" applyNumberFormat="1" applyFont="1" applyFill="1" applyBorder="1" applyAlignment="1">
      <alignment horizontal="center" vertical="center"/>
      <protection/>
    </xf>
    <xf numFmtId="186" fontId="23" fillId="0" borderId="10" xfId="0" applyNumberFormat="1" applyFont="1" applyBorder="1" applyAlignment="1">
      <alignment horizontal="left" vertical="center" shrinkToFit="1"/>
    </xf>
    <xf numFmtId="186" fontId="23" fillId="0" borderId="10" xfId="0" applyNumberFormat="1" applyFont="1" applyFill="1" applyBorder="1" applyAlignment="1">
      <alignment horizontal="center" vertical="center" shrinkToFit="1"/>
    </xf>
    <xf numFmtId="186" fontId="23" fillId="0" borderId="10" xfId="0" applyNumberFormat="1" applyFont="1" applyBorder="1" applyAlignment="1">
      <alignment horizontal="center" vertical="center" shrinkToFit="1"/>
    </xf>
    <xf numFmtId="186" fontId="23" fillId="0" borderId="10" xfId="0" applyNumberFormat="1" applyFont="1" applyFill="1" applyBorder="1" applyAlignment="1" applyProtection="1">
      <alignment horizontal="left" vertical="center" shrinkToFit="1"/>
      <protection/>
    </xf>
    <xf numFmtId="186" fontId="23" fillId="0" borderId="10" xfId="0" applyNumberFormat="1" applyFont="1" applyFill="1" applyBorder="1" applyAlignment="1" applyProtection="1">
      <alignment horizontal="center" vertical="center" shrinkToFit="1"/>
      <protection/>
    </xf>
    <xf numFmtId="186" fontId="23" fillId="0" borderId="21" xfId="0" applyNumberFormat="1" applyFont="1" applyFill="1" applyBorder="1" applyAlignment="1" applyProtection="1">
      <alignment horizontal="center" vertical="center" shrinkToFit="1"/>
      <protection/>
    </xf>
    <xf numFmtId="186" fontId="23" fillId="0" borderId="10" xfId="0" applyNumberFormat="1" applyFont="1" applyFill="1" applyBorder="1" applyAlignment="1" applyProtection="1">
      <alignment horizontal="left" vertical="center"/>
      <protection locked="0"/>
    </xf>
    <xf numFmtId="186" fontId="23" fillId="0" borderId="10" xfId="0" applyNumberFormat="1" applyFont="1" applyFill="1" applyBorder="1" applyAlignment="1" applyProtection="1">
      <alignment horizontal="center" vertical="center"/>
      <protection/>
    </xf>
    <xf numFmtId="186" fontId="23" fillId="0" borderId="20" xfId="0" applyNumberFormat="1" applyFont="1" applyBorder="1" applyAlignment="1">
      <alignment horizontal="center" vertical="center" shrinkToFit="1"/>
    </xf>
    <xf numFmtId="186" fontId="26" fillId="0" borderId="27" xfId="0" applyNumberFormat="1" applyFont="1" applyFill="1" applyBorder="1" applyAlignment="1" applyProtection="1">
      <alignment horizontal="left" vertical="center"/>
      <protection locked="0"/>
    </xf>
    <xf numFmtId="186" fontId="26" fillId="0" borderId="27" xfId="0" applyNumberFormat="1" applyFont="1" applyFill="1" applyBorder="1" applyAlignment="1" applyProtection="1">
      <alignment horizontal="center" vertical="center"/>
      <protection/>
    </xf>
    <xf numFmtId="186" fontId="26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186" fontId="26" fillId="0" borderId="10" xfId="67" applyNumberFormat="1" applyFont="1" applyFill="1" applyBorder="1" applyAlignment="1">
      <alignment horizontal="center" vertical="center"/>
      <protection/>
    </xf>
    <xf numFmtId="186" fontId="26" fillId="0" borderId="21" xfId="0" applyNumberFormat="1" applyFont="1" applyBorder="1" applyAlignment="1">
      <alignment horizontal="center" vertical="center" shrinkToFit="1"/>
    </xf>
    <xf numFmtId="186" fontId="26" fillId="0" borderId="23" xfId="0" applyNumberFormat="1" applyFont="1" applyFill="1" applyBorder="1" applyAlignment="1" applyProtection="1">
      <alignment horizontal="left" vertical="center"/>
      <protection locked="0"/>
    </xf>
    <xf numFmtId="186" fontId="26" fillId="0" borderId="23" xfId="0" applyNumberFormat="1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Fill="1" applyBorder="1" applyAlignment="1" applyProtection="1">
      <alignment horizontal="center" vertical="center" shrinkToFit="1"/>
      <protection/>
    </xf>
    <xf numFmtId="186" fontId="12" fillId="0" borderId="34" xfId="0" applyNumberFormat="1" applyFont="1" applyFill="1" applyBorder="1" applyAlignment="1" applyProtection="1">
      <alignment horizontal="center" vertical="center" shrinkToFit="1"/>
      <protection/>
    </xf>
    <xf numFmtId="186" fontId="26" fillId="0" borderId="10" xfId="0" applyNumberFormat="1" applyFont="1" applyBorder="1" applyAlignment="1" applyProtection="1">
      <alignment horizontal="center" vertical="center"/>
      <protection locked="0"/>
    </xf>
    <xf numFmtId="186" fontId="26" fillId="0" borderId="10" xfId="0" applyNumberFormat="1" applyFont="1" applyFill="1" applyBorder="1" applyAlignment="1">
      <alignment horizontal="center" vertical="center" shrinkToFit="1"/>
    </xf>
    <xf numFmtId="186" fontId="14" fillId="0" borderId="10" xfId="0" applyNumberFormat="1" applyFont="1" applyFill="1" applyBorder="1" applyAlignment="1" applyProtection="1">
      <alignment vertical="center" shrinkToFit="1"/>
      <protection/>
    </xf>
    <xf numFmtId="186" fontId="14" fillId="0" borderId="10" xfId="0" applyNumberFormat="1" applyFont="1" applyFill="1" applyBorder="1" applyAlignment="1" applyProtection="1">
      <alignment horizontal="center" vertical="center"/>
      <protection/>
    </xf>
    <xf numFmtId="186" fontId="26" fillId="0" borderId="10" xfId="0" applyNumberFormat="1" applyFont="1" applyFill="1" applyBorder="1" applyAlignment="1" applyProtection="1">
      <alignment horizontal="center" vertical="center"/>
      <protection/>
    </xf>
    <xf numFmtId="186" fontId="23" fillId="0" borderId="23" xfId="0" applyNumberFormat="1" applyFont="1" applyFill="1" applyBorder="1" applyAlignment="1" applyProtection="1">
      <alignment horizontal="left" vertical="center"/>
      <protection locked="0"/>
    </xf>
    <xf numFmtId="186" fontId="23" fillId="0" borderId="23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Alignment="1">
      <alignment/>
    </xf>
    <xf numFmtId="0" fontId="20" fillId="19" borderId="17" xfId="0" applyFont="1" applyFill="1" applyBorder="1" applyAlignment="1" applyProtection="1">
      <alignment horizontal="center" vertical="center" wrapText="1" shrinkToFit="1"/>
      <protection locked="0"/>
    </xf>
    <xf numFmtId="186" fontId="26" fillId="0" borderId="10" xfId="0" applyNumberFormat="1" applyFont="1" applyBorder="1" applyAlignment="1">
      <alignment horizontal="center" vertical="center"/>
    </xf>
    <xf numFmtId="186" fontId="14" fillId="0" borderId="0" xfId="0" applyNumberFormat="1" applyFont="1" applyAlignment="1">
      <alignment horizontal="center" vertical="center"/>
    </xf>
    <xf numFmtId="186" fontId="26" fillId="0" borderId="10" xfId="0" applyNumberFormat="1" applyFont="1" applyFill="1" applyBorder="1" applyAlignment="1">
      <alignment horizontal="center" vertical="center"/>
    </xf>
    <xf numFmtId="186" fontId="23" fillId="19" borderId="10" xfId="0" applyNumberFormat="1" applyFont="1" applyFill="1" applyBorder="1" applyAlignment="1">
      <alignment horizontal="center" vertical="center" shrinkToFit="1"/>
    </xf>
    <xf numFmtId="186" fontId="26" fillId="0" borderId="30" xfId="0" applyNumberFormat="1" applyFont="1" applyBorder="1" applyAlignment="1">
      <alignment horizontal="center" vertical="center" shrinkToFit="1"/>
    </xf>
    <xf numFmtId="186" fontId="14" fillId="0" borderId="3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186" fontId="26" fillId="0" borderId="10" xfId="0" applyNumberFormat="1" applyFont="1" applyFill="1" applyBorder="1" applyAlignment="1">
      <alignment horizontal="center" vertical="center"/>
    </xf>
    <xf numFmtId="186" fontId="26" fillId="0" borderId="10" xfId="0" applyNumberFormat="1" applyFont="1" applyFill="1" applyBorder="1" applyAlignment="1">
      <alignment vertical="center"/>
    </xf>
    <xf numFmtId="186" fontId="26" fillId="0" borderId="10" xfId="0" applyNumberFormat="1" applyFont="1" applyFill="1" applyBorder="1" applyAlignment="1">
      <alignment horizontal="center" vertical="center" shrinkToFit="1"/>
    </xf>
    <xf numFmtId="186" fontId="26" fillId="0" borderId="31" xfId="0" applyNumberFormat="1" applyFont="1" applyFill="1" applyBorder="1" applyAlignment="1">
      <alignment horizontal="center" vertical="center" shrinkToFit="1"/>
    </xf>
    <xf numFmtId="186" fontId="26" fillId="0" borderId="33" xfId="0" applyNumberFormat="1" applyFont="1" applyFill="1" applyBorder="1" applyAlignment="1">
      <alignment vertical="center"/>
    </xf>
    <xf numFmtId="186" fontId="14" fillId="0" borderId="33" xfId="0" applyNumberFormat="1" applyFont="1" applyBorder="1" applyAlignment="1">
      <alignment vertical="center" shrinkToFit="1"/>
    </xf>
    <xf numFmtId="186" fontId="14" fillId="0" borderId="10" xfId="0" applyNumberFormat="1" applyFont="1" applyBorder="1" applyAlignment="1">
      <alignment vertical="center" shrinkToFit="1"/>
    </xf>
    <xf numFmtId="186" fontId="12" fillId="0" borderId="10" xfId="0" applyNumberFormat="1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6" fontId="12" fillId="0" borderId="10" xfId="0" applyNumberFormat="1" applyFont="1" applyFill="1" applyBorder="1" applyAlignment="1" applyProtection="1">
      <alignment horizontal="center" vertical="center" wrapText="1"/>
      <protection/>
    </xf>
    <xf numFmtId="186" fontId="23" fillId="0" borderId="21" xfId="0" applyNumberFormat="1" applyFont="1" applyBorder="1" applyAlignment="1">
      <alignment horizontal="center" vertical="center" shrinkToFit="1"/>
    </xf>
    <xf numFmtId="186" fontId="14" fillId="0" borderId="10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4 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72"/>
  <sheetViews>
    <sheetView showZeros="0" zoomScale="80" zoomScaleNormal="80" workbookViewId="0" topLeftCell="A55">
      <selection activeCell="D82" sqref="D82"/>
    </sheetView>
  </sheetViews>
  <sheetFormatPr defaultColWidth="11.33203125" defaultRowHeight="11.25"/>
  <cols>
    <col min="1" max="1" width="47.66015625" style="145" customWidth="1"/>
    <col min="2" max="2" width="16.16015625" style="219" customWidth="1"/>
    <col min="3" max="3" width="15.16015625" style="103" hidden="1" customWidth="1"/>
    <col min="4" max="4" width="11.66015625" style="103" customWidth="1"/>
    <col min="5" max="5" width="11.66015625" style="103" hidden="1" customWidth="1"/>
    <col min="6" max="6" width="15.66015625" style="103" customWidth="1"/>
    <col min="7" max="7" width="45.16015625" style="145" customWidth="1"/>
    <col min="8" max="8" width="13.66015625" style="219" customWidth="1"/>
    <col min="9" max="9" width="11.66015625" style="103" customWidth="1"/>
    <col min="10" max="11" width="9.5" style="103" hidden="1" customWidth="1"/>
    <col min="12" max="12" width="8.5" style="103" hidden="1" customWidth="1"/>
    <col min="13" max="14" width="9.5" style="103" hidden="1" customWidth="1"/>
    <col min="15" max="15" width="9.83203125" style="103" hidden="1" customWidth="1"/>
    <col min="16" max="22" width="9.5" style="103" hidden="1" customWidth="1"/>
    <col min="23" max="23" width="17.83203125" style="103" customWidth="1"/>
    <col min="24" max="24" width="11.16015625" style="103" hidden="1" customWidth="1"/>
    <col min="25" max="25" width="14.33203125" style="103" hidden="1" customWidth="1"/>
    <col min="26" max="16384" width="11.16015625" style="103" customWidth="1"/>
  </cols>
  <sheetData>
    <row r="1" spans="1:23" ht="20.25">
      <c r="A1" s="220" t="s">
        <v>0</v>
      </c>
      <c r="B1" s="221"/>
      <c r="C1" s="222"/>
      <c r="D1" s="222"/>
      <c r="E1" s="222"/>
      <c r="F1" s="222"/>
      <c r="G1" s="222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">
      <c r="A2" s="223"/>
      <c r="B2" s="224"/>
      <c r="C2" s="225"/>
      <c r="D2" s="225"/>
      <c r="E2" s="225"/>
      <c r="H2" s="226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96" t="s">
        <v>1</v>
      </c>
    </row>
    <row r="3" spans="1:25" s="214" customFormat="1" ht="20.25" customHeight="1">
      <c r="A3" s="227" t="s">
        <v>2</v>
      </c>
      <c r="B3" s="228"/>
      <c r="C3" s="229"/>
      <c r="D3" s="229"/>
      <c r="E3" s="229"/>
      <c r="F3" s="230"/>
      <c r="G3" s="227" t="s">
        <v>3</v>
      </c>
      <c r="H3" s="228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  <c r="X3" s="115" t="s">
        <v>4</v>
      </c>
      <c r="Y3" s="305" t="s">
        <v>5</v>
      </c>
    </row>
    <row r="4" spans="1:25" s="139" customFormat="1" ht="54.75" customHeight="1">
      <c r="A4" s="231" t="s">
        <v>6</v>
      </c>
      <c r="B4" s="111" t="s">
        <v>7</v>
      </c>
      <c r="C4" s="232" t="s">
        <v>8</v>
      </c>
      <c r="D4" s="112" t="s">
        <v>9</v>
      </c>
      <c r="E4" s="112"/>
      <c r="F4" s="233" t="s">
        <v>10</v>
      </c>
      <c r="G4" s="231" t="s">
        <v>6</v>
      </c>
      <c r="H4" s="234" t="s">
        <v>7</v>
      </c>
      <c r="I4" s="112" t="s">
        <v>9</v>
      </c>
      <c r="J4" s="289" t="s">
        <v>11</v>
      </c>
      <c r="K4" s="112" t="s">
        <v>12</v>
      </c>
      <c r="L4" s="112" t="s">
        <v>13</v>
      </c>
      <c r="M4" s="289" t="s">
        <v>14</v>
      </c>
      <c r="N4" s="112" t="s">
        <v>15</v>
      </c>
      <c r="O4" s="112" t="s">
        <v>16</v>
      </c>
      <c r="P4" s="112" t="s">
        <v>17</v>
      </c>
      <c r="Q4" s="112" t="s">
        <v>18</v>
      </c>
      <c r="R4" s="112" t="s">
        <v>19</v>
      </c>
      <c r="S4" s="112" t="s">
        <v>20</v>
      </c>
      <c r="T4" s="112" t="s">
        <v>21</v>
      </c>
      <c r="U4" s="112" t="s">
        <v>22</v>
      </c>
      <c r="V4" s="112" t="s">
        <v>23</v>
      </c>
      <c r="W4" s="233" t="s">
        <v>10</v>
      </c>
      <c r="X4" s="115"/>
      <c r="Y4" s="306"/>
    </row>
    <row r="5" spans="1:25" s="215" customFormat="1" ht="25.5" customHeight="1">
      <c r="A5" s="235" t="s">
        <v>24</v>
      </c>
      <c r="B5" s="236">
        <f>SUM(B6:B20)</f>
        <v>115276</v>
      </c>
      <c r="C5" s="236">
        <f>SUM(C6:C20)</f>
        <v>0</v>
      </c>
      <c r="D5" s="237">
        <f>SUM(D6:D20)</f>
        <v>0</v>
      </c>
      <c r="E5" s="237"/>
      <c r="F5" s="236">
        <f>SUM(F6:F20)</f>
        <v>115276</v>
      </c>
      <c r="G5" s="238" t="s">
        <v>25</v>
      </c>
      <c r="H5" s="239">
        <v>65109</v>
      </c>
      <c r="I5" s="290">
        <f>SUM(J5:V5)</f>
        <v>-8358.09</v>
      </c>
      <c r="J5" s="290"/>
      <c r="K5" s="242"/>
      <c r="L5" s="290">
        <v>-4758.09</v>
      </c>
      <c r="M5" s="290">
        <v>-3600</v>
      </c>
      <c r="N5" s="290"/>
      <c r="O5" s="290"/>
      <c r="P5" s="290"/>
      <c r="Q5" s="290"/>
      <c r="R5" s="290"/>
      <c r="S5" s="290"/>
      <c r="T5" s="290"/>
      <c r="U5" s="290"/>
      <c r="V5" s="290"/>
      <c r="W5" s="297">
        <f aca="true" t="shared" si="0" ref="W5:W28">H5+I5</f>
        <v>56750.91</v>
      </c>
      <c r="X5" s="298">
        <v>49731</v>
      </c>
      <c r="Y5" s="242">
        <f aca="true" t="shared" si="1" ref="Y5:Y22">X5/W5</f>
        <v>0.8763031288837483</v>
      </c>
    </row>
    <row r="6" spans="1:25" s="215" customFormat="1" ht="25.5" customHeight="1">
      <c r="A6" s="240" t="s">
        <v>26</v>
      </c>
      <c r="B6" s="241">
        <f>'收入调整 (2)'!B6</f>
        <v>43989</v>
      </c>
      <c r="C6" s="242">
        <f>D6</f>
        <v>-6500</v>
      </c>
      <c r="D6" s="237">
        <f>'收入调整 (2)'!F6</f>
        <v>-6500</v>
      </c>
      <c r="E6" s="237"/>
      <c r="F6" s="243">
        <f aca="true" t="shared" si="2" ref="F6:F20">C6+B6</f>
        <v>37489</v>
      </c>
      <c r="G6" s="238" t="s">
        <v>27</v>
      </c>
      <c r="H6" s="239"/>
      <c r="I6" s="290">
        <f aca="true" t="shared" si="3" ref="I6:I28">SUM(J6:V6)</f>
        <v>0</v>
      </c>
      <c r="J6" s="290"/>
      <c r="K6" s="242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7">
        <f t="shared" si="0"/>
        <v>0</v>
      </c>
      <c r="X6" s="298"/>
      <c r="Y6" s="242"/>
    </row>
    <row r="7" spans="1:25" s="215" customFormat="1" ht="25.5" customHeight="1">
      <c r="A7" s="240" t="s">
        <v>28</v>
      </c>
      <c r="B7" s="241">
        <f>'收入调整 (2)'!B7</f>
        <v>8898</v>
      </c>
      <c r="C7" s="242">
        <f aca="true" t="shared" si="4" ref="C7:C20">D7</f>
        <v>-500</v>
      </c>
      <c r="D7" s="237">
        <f>'收入调整 (2)'!F7</f>
        <v>-500</v>
      </c>
      <c r="E7" s="237"/>
      <c r="F7" s="243">
        <f t="shared" si="2"/>
        <v>8398</v>
      </c>
      <c r="G7" s="238" t="s">
        <v>29</v>
      </c>
      <c r="H7" s="239">
        <v>790</v>
      </c>
      <c r="I7" s="290">
        <f t="shared" si="3"/>
        <v>0</v>
      </c>
      <c r="J7" s="290"/>
      <c r="K7" s="242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7">
        <f t="shared" si="0"/>
        <v>790</v>
      </c>
      <c r="X7" s="298">
        <v>605</v>
      </c>
      <c r="Y7" s="242">
        <f t="shared" si="1"/>
        <v>0.7658227848101266</v>
      </c>
    </row>
    <row r="8" spans="1:25" s="215" customFormat="1" ht="25.5" customHeight="1">
      <c r="A8" s="240" t="s">
        <v>30</v>
      </c>
      <c r="B8" s="241">
        <f>'收入调整 (2)'!B8</f>
        <v>1733</v>
      </c>
      <c r="C8" s="242">
        <f t="shared" si="4"/>
        <v>0</v>
      </c>
      <c r="D8" s="237">
        <f>'收入调整 (2)'!F8</f>
        <v>0</v>
      </c>
      <c r="E8" s="237"/>
      <c r="F8" s="243">
        <f t="shared" si="2"/>
        <v>1733</v>
      </c>
      <c r="G8" s="238" t="s">
        <v>31</v>
      </c>
      <c r="H8" s="239">
        <v>17220</v>
      </c>
      <c r="I8" s="290">
        <f t="shared" si="3"/>
        <v>0</v>
      </c>
      <c r="J8" s="290"/>
      <c r="K8" s="242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7">
        <f t="shared" si="0"/>
        <v>17220</v>
      </c>
      <c r="X8" s="298">
        <v>14015</v>
      </c>
      <c r="Y8" s="242">
        <f t="shared" si="1"/>
        <v>0.8138792102206737</v>
      </c>
    </row>
    <row r="9" spans="1:25" s="215" customFormat="1" ht="25.5" customHeight="1">
      <c r="A9" s="240" t="s">
        <v>32</v>
      </c>
      <c r="B9" s="241">
        <f>'收入调整 (2)'!B9</f>
        <v>2588</v>
      </c>
      <c r="C9" s="242">
        <f t="shared" si="4"/>
        <v>-194</v>
      </c>
      <c r="D9" s="237">
        <f>'收入调整 (2)'!F9</f>
        <v>-194</v>
      </c>
      <c r="E9" s="237"/>
      <c r="F9" s="243">
        <f t="shared" si="2"/>
        <v>2394</v>
      </c>
      <c r="G9" s="238" t="s">
        <v>33</v>
      </c>
      <c r="H9" s="239">
        <v>142382</v>
      </c>
      <c r="I9" s="290">
        <f t="shared" si="3"/>
        <v>-12229</v>
      </c>
      <c r="J9" s="290">
        <v>-12529</v>
      </c>
      <c r="K9" s="242"/>
      <c r="L9" s="290"/>
      <c r="M9" s="290">
        <v>-200</v>
      </c>
      <c r="N9" s="290"/>
      <c r="O9" s="290">
        <v>500</v>
      </c>
      <c r="P9" s="290"/>
      <c r="Q9" s="290"/>
      <c r="R9" s="290"/>
      <c r="S9" s="290"/>
      <c r="T9" s="290"/>
      <c r="U9" s="290"/>
      <c r="V9" s="290"/>
      <c r="W9" s="297">
        <f t="shared" si="0"/>
        <v>130153</v>
      </c>
      <c r="X9" s="298">
        <v>93113</v>
      </c>
      <c r="Y9" s="242">
        <f t="shared" si="1"/>
        <v>0.715411861424631</v>
      </c>
    </row>
    <row r="10" spans="1:25" s="215" customFormat="1" ht="25.5" customHeight="1">
      <c r="A10" s="240" t="s">
        <v>34</v>
      </c>
      <c r="B10" s="241">
        <f>'收入调整 (2)'!B10</f>
        <v>6290</v>
      </c>
      <c r="C10" s="242">
        <f t="shared" si="4"/>
        <v>-200</v>
      </c>
      <c r="D10" s="237">
        <f>'收入调整 (2)'!F10</f>
        <v>-200</v>
      </c>
      <c r="E10" s="237"/>
      <c r="F10" s="243">
        <f t="shared" si="2"/>
        <v>6090</v>
      </c>
      <c r="G10" s="238" t="s">
        <v>35</v>
      </c>
      <c r="H10" s="239">
        <v>6200</v>
      </c>
      <c r="I10" s="290">
        <f t="shared" si="3"/>
        <v>0</v>
      </c>
      <c r="J10" s="290"/>
      <c r="K10" s="242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7">
        <f t="shared" si="0"/>
        <v>6200</v>
      </c>
      <c r="X10" s="298">
        <v>9927</v>
      </c>
      <c r="Y10" s="242">
        <f t="shared" si="1"/>
        <v>1.6011290322580645</v>
      </c>
    </row>
    <row r="11" spans="1:25" s="215" customFormat="1" ht="25.5" customHeight="1">
      <c r="A11" s="240" t="s">
        <v>36</v>
      </c>
      <c r="B11" s="241">
        <f>'收入调整 (2)'!B11</f>
        <v>3560</v>
      </c>
      <c r="C11" s="242">
        <f t="shared" si="4"/>
        <v>3500</v>
      </c>
      <c r="D11" s="237">
        <f>'收入调整 (2)'!F11</f>
        <v>3500</v>
      </c>
      <c r="E11" s="237"/>
      <c r="F11" s="243">
        <f t="shared" si="2"/>
        <v>7060</v>
      </c>
      <c r="G11" s="238" t="s">
        <v>37</v>
      </c>
      <c r="H11" s="239">
        <v>7890</v>
      </c>
      <c r="I11" s="290">
        <f t="shared" si="3"/>
        <v>0</v>
      </c>
      <c r="J11" s="290"/>
      <c r="K11" s="242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7">
        <f t="shared" si="0"/>
        <v>7890</v>
      </c>
      <c r="X11" s="298">
        <v>6389</v>
      </c>
      <c r="Y11" s="242">
        <f t="shared" si="1"/>
        <v>0.8097591888466413</v>
      </c>
    </row>
    <row r="12" spans="1:25" s="215" customFormat="1" ht="25.5" customHeight="1">
      <c r="A12" s="240" t="s">
        <v>38</v>
      </c>
      <c r="B12" s="241">
        <f>'收入调整 (2)'!B12</f>
        <v>2613</v>
      </c>
      <c r="C12" s="242">
        <f t="shared" si="4"/>
        <v>700</v>
      </c>
      <c r="D12" s="237">
        <f>'收入调整 (2)'!F12</f>
        <v>700</v>
      </c>
      <c r="E12" s="237"/>
      <c r="F12" s="243">
        <f t="shared" si="2"/>
        <v>3313</v>
      </c>
      <c r="G12" s="238" t="s">
        <v>39</v>
      </c>
      <c r="H12" s="239">
        <v>79828</v>
      </c>
      <c r="I12" s="290">
        <f t="shared" si="3"/>
        <v>6256</v>
      </c>
      <c r="J12" s="290"/>
      <c r="K12" s="242"/>
      <c r="L12" s="290"/>
      <c r="M12" s="290">
        <f>3143+3113</f>
        <v>6256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2">
        <f t="shared" si="0"/>
        <v>86084</v>
      </c>
      <c r="X12" s="298">
        <v>86866</v>
      </c>
      <c r="Y12" s="242">
        <f t="shared" si="1"/>
        <v>1.00908415036476</v>
      </c>
    </row>
    <row r="13" spans="1:25" s="215" customFormat="1" ht="25.5" customHeight="1">
      <c r="A13" s="240" t="s">
        <v>40</v>
      </c>
      <c r="B13" s="241">
        <f>'收入调整 (2)'!B13</f>
        <v>6335</v>
      </c>
      <c r="C13" s="242">
        <f t="shared" si="4"/>
        <v>-2300</v>
      </c>
      <c r="D13" s="237">
        <f>'收入调整 (2)'!F13</f>
        <v>-2300</v>
      </c>
      <c r="E13" s="237"/>
      <c r="F13" s="243">
        <f t="shared" si="2"/>
        <v>4035</v>
      </c>
      <c r="G13" s="238" t="s">
        <v>41</v>
      </c>
      <c r="H13" s="239">
        <v>93263</v>
      </c>
      <c r="I13" s="290">
        <f t="shared" si="3"/>
        <v>-37311.01</v>
      </c>
      <c r="J13" s="290"/>
      <c r="K13" s="242"/>
      <c r="L13" s="290">
        <v>-6323</v>
      </c>
      <c r="M13" s="290">
        <f>-38311.01+6323</f>
        <v>-31988.010000000002</v>
      </c>
      <c r="N13" s="290"/>
      <c r="O13" s="290">
        <v>1000</v>
      </c>
      <c r="P13" s="290"/>
      <c r="Q13" s="290"/>
      <c r="R13" s="290"/>
      <c r="S13" s="290"/>
      <c r="T13" s="290"/>
      <c r="U13" s="290"/>
      <c r="V13" s="290"/>
      <c r="W13" s="297">
        <f t="shared" si="0"/>
        <v>55951.99</v>
      </c>
      <c r="X13" s="298">
        <v>50157</v>
      </c>
      <c r="Y13" s="242">
        <f t="shared" si="1"/>
        <v>0.8964292422843227</v>
      </c>
    </row>
    <row r="14" spans="1:25" s="215" customFormat="1" ht="25.5" customHeight="1">
      <c r="A14" s="240" t="s">
        <v>42</v>
      </c>
      <c r="B14" s="241">
        <f>'收入调整 (2)'!B14</f>
        <v>17300</v>
      </c>
      <c r="C14" s="242">
        <f t="shared" si="4"/>
        <v>7267</v>
      </c>
      <c r="D14" s="237">
        <f>'收入调整 (2)'!F14</f>
        <v>7267</v>
      </c>
      <c r="E14" s="237"/>
      <c r="F14" s="243">
        <f t="shared" si="2"/>
        <v>24567</v>
      </c>
      <c r="G14" s="238" t="s">
        <v>43</v>
      </c>
      <c r="H14" s="239">
        <v>11790</v>
      </c>
      <c r="I14" s="290">
        <f t="shared" si="3"/>
        <v>6050</v>
      </c>
      <c r="J14" s="290"/>
      <c r="K14" s="242"/>
      <c r="L14" s="290"/>
      <c r="M14" s="290">
        <f>4650-440</f>
        <v>4210</v>
      </c>
      <c r="N14" s="290"/>
      <c r="O14" s="290">
        <v>1400</v>
      </c>
      <c r="P14" s="290"/>
      <c r="Q14" s="290"/>
      <c r="R14" s="290"/>
      <c r="S14" s="290"/>
      <c r="T14" s="290"/>
      <c r="U14" s="290"/>
      <c r="V14" s="290">
        <v>440</v>
      </c>
      <c r="W14" s="297">
        <f t="shared" si="0"/>
        <v>17840</v>
      </c>
      <c r="X14" s="298">
        <v>9106</v>
      </c>
      <c r="Y14" s="242">
        <f t="shared" si="1"/>
        <v>0.5104260089686099</v>
      </c>
    </row>
    <row r="15" spans="1:25" s="215" customFormat="1" ht="25.5" customHeight="1">
      <c r="A15" s="240" t="s">
        <v>44</v>
      </c>
      <c r="B15" s="241">
        <f>'收入调整 (2)'!B15</f>
        <v>1200</v>
      </c>
      <c r="C15" s="242">
        <f t="shared" si="4"/>
        <v>0</v>
      </c>
      <c r="D15" s="237">
        <f>'收入调整 (2)'!F15</f>
        <v>0</v>
      </c>
      <c r="E15" s="237"/>
      <c r="F15" s="243">
        <f t="shared" si="2"/>
        <v>1200</v>
      </c>
      <c r="G15" s="238" t="s">
        <v>45</v>
      </c>
      <c r="H15" s="239">
        <v>15151</v>
      </c>
      <c r="I15" s="290">
        <f t="shared" si="3"/>
        <v>1045</v>
      </c>
      <c r="J15" s="291"/>
      <c r="K15" s="242"/>
      <c r="L15" s="290"/>
      <c r="M15" s="290">
        <v>595</v>
      </c>
      <c r="N15" s="290"/>
      <c r="O15" s="290">
        <v>450</v>
      </c>
      <c r="P15" s="290"/>
      <c r="Q15" s="290"/>
      <c r="R15" s="290"/>
      <c r="S15" s="290"/>
      <c r="T15" s="290"/>
      <c r="U15" s="290"/>
      <c r="V15" s="290"/>
      <c r="W15" s="292">
        <f t="shared" si="0"/>
        <v>16196</v>
      </c>
      <c r="X15" s="298">
        <v>16469</v>
      </c>
      <c r="Y15" s="242">
        <f t="shared" si="1"/>
        <v>1.0168560138305756</v>
      </c>
    </row>
    <row r="16" spans="1:25" s="215" customFormat="1" ht="25.5" customHeight="1">
      <c r="A16" s="240" t="s">
        <v>46</v>
      </c>
      <c r="B16" s="241">
        <f>'收入调整 (2)'!B16</f>
        <v>2950</v>
      </c>
      <c r="C16" s="242">
        <f t="shared" si="4"/>
        <v>127</v>
      </c>
      <c r="D16" s="237">
        <f>'收入调整 (2)'!F16</f>
        <v>127</v>
      </c>
      <c r="E16" s="237"/>
      <c r="F16" s="243">
        <f t="shared" si="2"/>
        <v>3077</v>
      </c>
      <c r="G16" s="238" t="s">
        <v>47</v>
      </c>
      <c r="H16" s="239">
        <v>77394</v>
      </c>
      <c r="I16" s="290">
        <f t="shared" si="3"/>
        <v>3448</v>
      </c>
      <c r="J16" s="290"/>
      <c r="K16" s="242"/>
      <c r="L16" s="292"/>
      <c r="M16" s="290">
        <v>1398</v>
      </c>
      <c r="N16" s="290"/>
      <c r="O16" s="290">
        <v>2050</v>
      </c>
      <c r="P16" s="290"/>
      <c r="Q16" s="290"/>
      <c r="R16" s="290"/>
      <c r="S16" s="290"/>
      <c r="T16" s="290"/>
      <c r="U16" s="290"/>
      <c r="V16" s="290"/>
      <c r="W16" s="292">
        <f t="shared" si="0"/>
        <v>80842</v>
      </c>
      <c r="X16" s="298">
        <v>62250</v>
      </c>
      <c r="Y16" s="242">
        <f t="shared" si="1"/>
        <v>0.7700205338809035</v>
      </c>
    </row>
    <row r="17" spans="1:25" s="215" customFormat="1" ht="25.5" customHeight="1">
      <c r="A17" s="240" t="s">
        <v>48</v>
      </c>
      <c r="B17" s="241">
        <f>'收入调整 (2)'!B17</f>
        <v>5500</v>
      </c>
      <c r="C17" s="242">
        <f t="shared" si="4"/>
        <v>-5000</v>
      </c>
      <c r="D17" s="237">
        <f>'收入调整 (2)'!F17</f>
        <v>-5000</v>
      </c>
      <c r="E17" s="237"/>
      <c r="F17" s="243">
        <f t="shared" si="2"/>
        <v>500</v>
      </c>
      <c r="G17" s="238" t="s">
        <v>49</v>
      </c>
      <c r="H17" s="239">
        <v>10794</v>
      </c>
      <c r="I17" s="290">
        <f t="shared" si="3"/>
        <v>2820</v>
      </c>
      <c r="J17" s="290"/>
      <c r="K17" s="242"/>
      <c r="L17" s="290"/>
      <c r="M17" s="290">
        <v>-380</v>
      </c>
      <c r="N17" s="290"/>
      <c r="O17" s="290">
        <v>3200</v>
      </c>
      <c r="P17" s="290"/>
      <c r="Q17" s="290"/>
      <c r="R17" s="290"/>
      <c r="S17" s="290"/>
      <c r="T17" s="290"/>
      <c r="U17" s="290"/>
      <c r="V17" s="290"/>
      <c r="W17" s="297">
        <f t="shared" si="0"/>
        <v>13614</v>
      </c>
      <c r="X17" s="298">
        <v>13431</v>
      </c>
      <c r="Y17" s="242">
        <f t="shared" si="1"/>
        <v>0.9865579550462759</v>
      </c>
    </row>
    <row r="18" spans="1:25" s="215" customFormat="1" ht="25.5" customHeight="1">
      <c r="A18" s="240" t="s">
        <v>50</v>
      </c>
      <c r="B18" s="241">
        <f>'收入调整 (2)'!B18</f>
        <v>11900</v>
      </c>
      <c r="C18" s="242">
        <f t="shared" si="4"/>
        <v>3100</v>
      </c>
      <c r="D18" s="237">
        <f>'收入调整 (2)'!F18</f>
        <v>3100</v>
      </c>
      <c r="E18" s="237"/>
      <c r="F18" s="243">
        <f t="shared" si="2"/>
        <v>15000</v>
      </c>
      <c r="G18" s="238" t="s">
        <v>51</v>
      </c>
      <c r="H18" s="239">
        <v>5628</v>
      </c>
      <c r="I18" s="290">
        <f t="shared" si="3"/>
        <v>0</v>
      </c>
      <c r="J18" s="290"/>
      <c r="K18" s="242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7">
        <f t="shared" si="0"/>
        <v>5628</v>
      </c>
      <c r="X18" s="298">
        <v>2623</v>
      </c>
      <c r="Y18" s="242">
        <f t="shared" si="1"/>
        <v>0.4660625444207534</v>
      </c>
    </row>
    <row r="19" spans="1:25" s="215" customFormat="1" ht="25.5" customHeight="1">
      <c r="A19" s="240" t="s">
        <v>52</v>
      </c>
      <c r="B19" s="241">
        <f>'收入调整 (2)'!B19</f>
        <v>420</v>
      </c>
      <c r="C19" s="242">
        <f t="shared" si="4"/>
        <v>0</v>
      </c>
      <c r="D19" s="237">
        <f>'收入调整 (2)'!F19</f>
        <v>0</v>
      </c>
      <c r="E19" s="237"/>
      <c r="F19" s="243">
        <f t="shared" si="2"/>
        <v>420</v>
      </c>
      <c r="G19" s="238" t="s">
        <v>53</v>
      </c>
      <c r="H19" s="239">
        <v>4480</v>
      </c>
      <c r="I19" s="290">
        <f t="shared" si="3"/>
        <v>0</v>
      </c>
      <c r="J19" s="290"/>
      <c r="K19" s="242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7">
        <f t="shared" si="0"/>
        <v>4480</v>
      </c>
      <c r="X19" s="298">
        <v>494</v>
      </c>
      <c r="Y19" s="242">
        <f t="shared" si="1"/>
        <v>0.11026785714285714</v>
      </c>
    </row>
    <row r="20" spans="1:25" s="216" customFormat="1" ht="25.5" customHeight="1">
      <c r="A20" s="240" t="s">
        <v>54</v>
      </c>
      <c r="B20" s="241">
        <f>'收入调整 (2)'!B20</f>
        <v>0</v>
      </c>
      <c r="C20" s="242">
        <f t="shared" si="4"/>
        <v>0</v>
      </c>
      <c r="D20" s="237">
        <f>'收入调整 (2)'!F20</f>
        <v>0</v>
      </c>
      <c r="E20" s="237"/>
      <c r="F20" s="243">
        <f t="shared" si="2"/>
        <v>0</v>
      </c>
      <c r="G20" s="238" t="s">
        <v>55</v>
      </c>
      <c r="H20" s="239">
        <v>50</v>
      </c>
      <c r="I20" s="290">
        <f t="shared" si="3"/>
        <v>0</v>
      </c>
      <c r="J20" s="251"/>
      <c r="K20" s="242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99">
        <f t="shared" si="0"/>
        <v>50</v>
      </c>
      <c r="X20" s="298">
        <v>46</v>
      </c>
      <c r="Y20" s="242">
        <f t="shared" si="1"/>
        <v>0.92</v>
      </c>
    </row>
    <row r="21" spans="1:25" s="217" customFormat="1" ht="25.5" customHeight="1">
      <c r="A21" s="244" t="s">
        <v>56</v>
      </c>
      <c r="B21" s="245">
        <f>SUM(B22:B28)</f>
        <v>46515</v>
      </c>
      <c r="C21" s="246">
        <f>SUM(C22:C28)</f>
        <v>440</v>
      </c>
      <c r="D21" s="247">
        <f>SUM(D22:D28)</f>
        <v>440</v>
      </c>
      <c r="E21" s="247"/>
      <c r="F21" s="246">
        <f>SUM(F22:F28)</f>
        <v>46955</v>
      </c>
      <c r="G21" s="238" t="s">
        <v>57</v>
      </c>
      <c r="H21" s="239"/>
      <c r="I21" s="290">
        <f t="shared" si="3"/>
        <v>0</v>
      </c>
      <c r="J21" s="251"/>
      <c r="K21" s="242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99">
        <f t="shared" si="0"/>
        <v>0</v>
      </c>
      <c r="X21" s="298"/>
      <c r="Y21" s="242"/>
    </row>
    <row r="22" spans="1:25" s="217" customFormat="1" ht="25.5" customHeight="1">
      <c r="A22" s="248" t="s">
        <v>58</v>
      </c>
      <c r="B22" s="249">
        <f>'收入调整 (2)'!B22</f>
        <v>8835</v>
      </c>
      <c r="C22" s="242">
        <f aca="true" t="shared" si="5" ref="C22:C27">D22</f>
        <v>-3384</v>
      </c>
      <c r="D22" s="250">
        <f>'收入调整 (2)'!F22</f>
        <v>-3384</v>
      </c>
      <c r="E22" s="250"/>
      <c r="F22" s="251">
        <f aca="true" t="shared" si="6" ref="F22:F27">B22+C22</f>
        <v>5451</v>
      </c>
      <c r="G22" s="238" t="s">
        <v>59</v>
      </c>
      <c r="H22" s="239">
        <v>7358</v>
      </c>
      <c r="I22" s="290">
        <f t="shared" si="3"/>
        <v>0</v>
      </c>
      <c r="J22" s="251"/>
      <c r="K22" s="242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82">
        <f t="shared" si="0"/>
        <v>7358</v>
      </c>
      <c r="X22" s="298">
        <v>9442</v>
      </c>
      <c r="Y22" s="242">
        <f t="shared" si="1"/>
        <v>1.2832291383528132</v>
      </c>
    </row>
    <row r="23" spans="1:25" s="217" customFormat="1" ht="25.5" customHeight="1">
      <c r="A23" s="248" t="s">
        <v>60</v>
      </c>
      <c r="B23" s="249">
        <f>'收入调整 (2)'!B31</f>
        <v>17050</v>
      </c>
      <c r="C23" s="242">
        <f t="shared" si="5"/>
        <v>-2109</v>
      </c>
      <c r="D23" s="250">
        <f>'收入调整 (2)'!F31</f>
        <v>-2109</v>
      </c>
      <c r="E23" s="250"/>
      <c r="F23" s="251">
        <f t="shared" si="6"/>
        <v>14941</v>
      </c>
      <c r="G23" s="238" t="s">
        <v>61</v>
      </c>
      <c r="H23" s="239">
        <v>7646</v>
      </c>
      <c r="I23" s="290">
        <f t="shared" si="3"/>
        <v>0</v>
      </c>
      <c r="J23" s="251"/>
      <c r="K23" s="242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82">
        <f t="shared" si="0"/>
        <v>7646</v>
      </c>
      <c r="X23" s="298">
        <v>16085</v>
      </c>
      <c r="Y23" s="242">
        <f aca="true" t="shared" si="7" ref="Y23:Y29">X23/W23</f>
        <v>2.1037143604499082</v>
      </c>
    </row>
    <row r="24" spans="1:25" s="217" customFormat="1" ht="25.5" customHeight="1">
      <c r="A24" s="252" t="s">
        <v>62</v>
      </c>
      <c r="B24" s="249">
        <f>'收入调整 (2)'!B32</f>
        <v>16900</v>
      </c>
      <c r="C24" s="242">
        <f t="shared" si="5"/>
        <v>2005</v>
      </c>
      <c r="D24" s="250">
        <f>'收入调整 (2)'!F32</f>
        <v>2005</v>
      </c>
      <c r="E24" s="250"/>
      <c r="F24" s="251">
        <f t="shared" si="6"/>
        <v>18905</v>
      </c>
      <c r="G24" s="238" t="s">
        <v>63</v>
      </c>
      <c r="H24" s="239">
        <v>3562</v>
      </c>
      <c r="I24" s="290">
        <f t="shared" si="3"/>
        <v>0</v>
      </c>
      <c r="J24" s="251"/>
      <c r="K24" s="242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99">
        <f t="shared" si="0"/>
        <v>3562</v>
      </c>
      <c r="X24" s="298">
        <v>2699</v>
      </c>
      <c r="Y24" s="242">
        <f t="shared" si="7"/>
        <v>0.7577203818079731</v>
      </c>
    </row>
    <row r="25" spans="1:25" s="217" customFormat="1" ht="25.5" customHeight="1">
      <c r="A25" s="240" t="s">
        <v>64</v>
      </c>
      <c r="B25" s="249">
        <f>'收入调整 (2)'!B33</f>
        <v>3500</v>
      </c>
      <c r="C25" s="242">
        <f t="shared" si="5"/>
        <v>3863</v>
      </c>
      <c r="D25" s="250">
        <f>'收入调整 (2)'!F33</f>
        <v>3863</v>
      </c>
      <c r="E25" s="250"/>
      <c r="F25" s="251">
        <f t="shared" si="6"/>
        <v>7363</v>
      </c>
      <c r="G25" s="238" t="s">
        <v>65</v>
      </c>
      <c r="H25" s="239">
        <v>6000</v>
      </c>
      <c r="I25" s="290">
        <f t="shared" si="3"/>
        <v>0</v>
      </c>
      <c r="J25" s="251"/>
      <c r="K25" s="250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99">
        <f t="shared" si="0"/>
        <v>6000</v>
      </c>
      <c r="X25" s="298"/>
      <c r="Y25" s="242">
        <f t="shared" si="7"/>
        <v>0</v>
      </c>
    </row>
    <row r="26" spans="1:25" s="217" customFormat="1" ht="25.5" customHeight="1">
      <c r="A26" s="240" t="s">
        <v>66</v>
      </c>
      <c r="B26" s="249">
        <f>'收入调整 (2)'!B34</f>
        <v>230</v>
      </c>
      <c r="C26" s="242">
        <f t="shared" si="5"/>
        <v>-4</v>
      </c>
      <c r="D26" s="250">
        <f>'收入调整 (2)'!F34</f>
        <v>-4</v>
      </c>
      <c r="E26" s="250"/>
      <c r="F26" s="251">
        <f t="shared" si="6"/>
        <v>226</v>
      </c>
      <c r="G26" s="238" t="s">
        <v>67</v>
      </c>
      <c r="H26" s="239">
        <v>2230</v>
      </c>
      <c r="I26" s="290">
        <f t="shared" si="3"/>
        <v>400</v>
      </c>
      <c r="J26" s="251"/>
      <c r="K26" s="250"/>
      <c r="L26" s="251"/>
      <c r="M26" s="290">
        <v>-500</v>
      </c>
      <c r="N26" s="251"/>
      <c r="O26" s="251">
        <v>900</v>
      </c>
      <c r="P26" s="251"/>
      <c r="Q26" s="251"/>
      <c r="R26" s="251"/>
      <c r="S26" s="251"/>
      <c r="T26" s="251"/>
      <c r="U26" s="251"/>
      <c r="V26" s="251"/>
      <c r="W26" s="282">
        <f t="shared" si="0"/>
        <v>2630</v>
      </c>
      <c r="X26" s="298">
        <v>4876</v>
      </c>
      <c r="Y26" s="242">
        <f t="shared" si="7"/>
        <v>1.8539923954372624</v>
      </c>
    </row>
    <row r="27" spans="1:25" s="217" customFormat="1" ht="25.5" customHeight="1">
      <c r="A27" s="253" t="s">
        <v>68</v>
      </c>
      <c r="B27" s="254">
        <f>'收入调整 (2)'!B36</f>
        <v>0</v>
      </c>
      <c r="C27" s="255">
        <f t="shared" si="5"/>
        <v>69</v>
      </c>
      <c r="D27" s="256">
        <v>69</v>
      </c>
      <c r="E27" s="256"/>
      <c r="F27" s="257">
        <f t="shared" si="6"/>
        <v>69</v>
      </c>
      <c r="G27" s="258" t="s">
        <v>69</v>
      </c>
      <c r="H27" s="259"/>
      <c r="I27" s="290">
        <f t="shared" si="3"/>
        <v>0</v>
      </c>
      <c r="J27" s="257"/>
      <c r="K27" s="255"/>
      <c r="L27" s="257"/>
      <c r="M27" s="257"/>
      <c r="N27" s="257"/>
      <c r="O27" s="257"/>
      <c r="P27" s="290"/>
      <c r="Q27" s="257"/>
      <c r="R27" s="257"/>
      <c r="S27" s="257"/>
      <c r="T27" s="257"/>
      <c r="U27" s="257"/>
      <c r="V27" s="257"/>
      <c r="W27" s="300">
        <f t="shared" si="0"/>
        <v>0</v>
      </c>
      <c r="X27" s="298">
        <v>21</v>
      </c>
      <c r="Y27" s="242" t="e">
        <f t="shared" si="7"/>
        <v>#DIV/0!</v>
      </c>
    </row>
    <row r="28" spans="1:25" s="217" customFormat="1" ht="25.5" customHeight="1">
      <c r="A28" s="260"/>
      <c r="B28" s="249"/>
      <c r="C28" s="250"/>
      <c r="D28" s="250"/>
      <c r="E28" s="250"/>
      <c r="F28" s="251"/>
      <c r="G28" s="261" t="s">
        <v>70</v>
      </c>
      <c r="H28" s="262">
        <v>18815</v>
      </c>
      <c r="I28" s="290">
        <f t="shared" si="3"/>
        <v>0</v>
      </c>
      <c r="J28" s="251"/>
      <c r="K28" s="242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>
        <f t="shared" si="0"/>
        <v>18815</v>
      </c>
      <c r="X28" s="298">
        <v>12128</v>
      </c>
      <c r="Y28" s="242">
        <f t="shared" si="7"/>
        <v>0.6445920807866065</v>
      </c>
    </row>
    <row r="29" spans="1:25" s="217" customFormat="1" ht="25.5" customHeight="1">
      <c r="A29" s="263" t="s">
        <v>71</v>
      </c>
      <c r="B29" s="264">
        <f>B5+B21</f>
        <v>161791</v>
      </c>
      <c r="C29" s="265">
        <f>C5+C21</f>
        <v>440</v>
      </c>
      <c r="D29" s="265">
        <f>D5+D21</f>
        <v>440</v>
      </c>
      <c r="E29" s="265"/>
      <c r="F29" s="265">
        <f>F5+F21</f>
        <v>162231</v>
      </c>
      <c r="G29" s="264" t="s">
        <v>72</v>
      </c>
      <c r="H29" s="264">
        <f>SUM(H5:H28)</f>
        <v>583580</v>
      </c>
      <c r="I29" s="290">
        <f>SUM(I5:I28)</f>
        <v>-37879.100000000006</v>
      </c>
      <c r="J29" s="290">
        <f aca="true" t="shared" si="8" ref="J29:X29">SUM(J5:J28)</f>
        <v>-12529</v>
      </c>
      <c r="K29" s="293">
        <f t="shared" si="8"/>
        <v>0</v>
      </c>
      <c r="L29" s="293">
        <f t="shared" si="8"/>
        <v>-11081.09</v>
      </c>
      <c r="M29" s="290">
        <f t="shared" si="8"/>
        <v>-24209.010000000002</v>
      </c>
      <c r="N29" s="293">
        <f t="shared" si="8"/>
        <v>0</v>
      </c>
      <c r="O29" s="293">
        <f t="shared" si="8"/>
        <v>9500</v>
      </c>
      <c r="P29" s="290">
        <f t="shared" si="8"/>
        <v>0</v>
      </c>
      <c r="Q29" s="293">
        <f t="shared" si="8"/>
        <v>0</v>
      </c>
      <c r="R29" s="293">
        <f t="shared" si="8"/>
        <v>0</v>
      </c>
      <c r="S29" s="293">
        <f t="shared" si="8"/>
        <v>0</v>
      </c>
      <c r="T29" s="293">
        <f t="shared" si="8"/>
        <v>0</v>
      </c>
      <c r="U29" s="293">
        <f t="shared" si="8"/>
        <v>0</v>
      </c>
      <c r="V29" s="293">
        <f t="shared" si="8"/>
        <v>440</v>
      </c>
      <c r="W29" s="265">
        <f t="shared" si="8"/>
        <v>545700.9</v>
      </c>
      <c r="X29" s="301">
        <f t="shared" si="8"/>
        <v>460473</v>
      </c>
      <c r="Y29" s="242">
        <f t="shared" si="7"/>
        <v>0.8438193889729704</v>
      </c>
    </row>
    <row r="30" spans="1:25" s="217" customFormat="1" ht="25.5" customHeight="1">
      <c r="A30" s="266" t="s">
        <v>73</v>
      </c>
      <c r="B30" s="267">
        <f>B31+B36+B67</f>
        <v>377393</v>
      </c>
      <c r="C30" s="267">
        <f>C31+C36+C67</f>
        <v>-26964.259999999995</v>
      </c>
      <c r="D30" s="267">
        <f>D31+D36+D67</f>
        <v>-29092.26000000001</v>
      </c>
      <c r="E30" s="267">
        <f>E31+E36+E67</f>
        <v>411251.28</v>
      </c>
      <c r="F30" s="268">
        <f>F31+F36+F67</f>
        <v>348300.74</v>
      </c>
      <c r="G30" s="269" t="s">
        <v>74</v>
      </c>
      <c r="H30" s="270">
        <f>SUM(H31:H35)</f>
        <v>14407</v>
      </c>
      <c r="I30" s="251">
        <v>6198</v>
      </c>
      <c r="J30" s="250">
        <f aca="true" t="shared" si="9" ref="J30:W30">SUM(J32:J39)</f>
        <v>0</v>
      </c>
      <c r="K30" s="251">
        <f t="shared" si="9"/>
        <v>0</v>
      </c>
      <c r="L30" s="251">
        <f t="shared" si="9"/>
        <v>0</v>
      </c>
      <c r="M30" s="251">
        <f t="shared" si="9"/>
        <v>0</v>
      </c>
      <c r="N30" s="251">
        <f t="shared" si="9"/>
        <v>0</v>
      </c>
      <c r="O30" s="251">
        <f t="shared" si="9"/>
        <v>0</v>
      </c>
      <c r="P30" s="251">
        <f t="shared" si="9"/>
        <v>0</v>
      </c>
      <c r="Q30" s="251">
        <f t="shared" si="9"/>
        <v>0</v>
      </c>
      <c r="R30" s="251">
        <f t="shared" si="9"/>
        <v>0</v>
      </c>
      <c r="S30" s="251">
        <f t="shared" si="9"/>
        <v>0</v>
      </c>
      <c r="T30" s="251">
        <f t="shared" si="9"/>
        <v>0</v>
      </c>
      <c r="U30" s="251">
        <f t="shared" si="9"/>
        <v>0</v>
      </c>
      <c r="V30" s="250">
        <f t="shared" si="9"/>
        <v>0</v>
      </c>
      <c r="W30" s="251">
        <f t="shared" si="9"/>
        <v>20605</v>
      </c>
      <c r="X30" s="302"/>
      <c r="Y30" s="303"/>
    </row>
    <row r="31" spans="1:25" s="217" customFormat="1" ht="25.5" customHeight="1">
      <c r="A31" s="266" t="s">
        <v>75</v>
      </c>
      <c r="B31" s="267">
        <f>SUM(B32:B35)</f>
        <v>7960</v>
      </c>
      <c r="C31" s="265">
        <f>SUM(C32:C35)</f>
        <v>69</v>
      </c>
      <c r="D31" s="265">
        <f>F31-B31</f>
        <v>69</v>
      </c>
      <c r="E31" s="265">
        <f>SUM(E32:E35)</f>
        <v>7960</v>
      </c>
      <c r="F31" s="271">
        <f>SUM(F32:F35)</f>
        <v>8029</v>
      </c>
      <c r="G31" s="272" t="s">
        <v>76</v>
      </c>
      <c r="H31" s="273"/>
      <c r="I31" s="294"/>
      <c r="J31" s="295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5"/>
      <c r="W31" s="294">
        <f>H31+I31</f>
        <v>0</v>
      </c>
      <c r="X31" s="303"/>
      <c r="Y31" s="303"/>
    </row>
    <row r="32" spans="1:25" s="217" customFormat="1" ht="25.5" customHeight="1">
      <c r="A32" s="274" t="s">
        <v>77</v>
      </c>
      <c r="B32" s="275">
        <v>1822</v>
      </c>
      <c r="C32" s="250">
        <f>SUM(D32:D32)</f>
        <v>1592</v>
      </c>
      <c r="D32" s="265">
        <f aca="true" t="shared" si="10" ref="D32:D72">F32-B32</f>
        <v>1592</v>
      </c>
      <c r="E32" s="250">
        <v>3414</v>
      </c>
      <c r="F32" s="276">
        <v>3414</v>
      </c>
      <c r="G32" s="277" t="s">
        <v>78</v>
      </c>
      <c r="H32" s="278"/>
      <c r="I32" s="251">
        <f aca="true" t="shared" si="11" ref="I32:I37">SUM(J32:V32)</f>
        <v>0</v>
      </c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>
        <f>H32+I32</f>
        <v>0</v>
      </c>
      <c r="X32" s="303"/>
      <c r="Y32" s="303"/>
    </row>
    <row r="33" spans="1:25" s="217" customFormat="1" ht="25.5" customHeight="1">
      <c r="A33" s="274" t="s">
        <v>79</v>
      </c>
      <c r="B33" s="275">
        <v>305</v>
      </c>
      <c r="C33" s="250">
        <f>SUM(D33:D33)</f>
        <v>0</v>
      </c>
      <c r="D33" s="265">
        <f t="shared" si="10"/>
        <v>0</v>
      </c>
      <c r="E33" s="250">
        <v>305</v>
      </c>
      <c r="F33" s="276">
        <f>B33+C33</f>
        <v>305</v>
      </c>
      <c r="G33" s="277" t="s">
        <v>80</v>
      </c>
      <c r="H33" s="278"/>
      <c r="I33" s="251">
        <f t="shared" si="11"/>
        <v>0</v>
      </c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>
        <f>H33+I33</f>
        <v>0</v>
      </c>
      <c r="X33" s="303"/>
      <c r="Y33" s="303"/>
    </row>
    <row r="34" spans="1:25" s="217" customFormat="1" ht="25.5" customHeight="1">
      <c r="A34" s="274" t="s">
        <v>81</v>
      </c>
      <c r="B34" s="275">
        <v>2143</v>
      </c>
      <c r="C34" s="250">
        <f>SUM(D34:D34)</f>
        <v>69</v>
      </c>
      <c r="D34" s="265">
        <f t="shared" si="10"/>
        <v>69</v>
      </c>
      <c r="E34" s="251">
        <v>2143</v>
      </c>
      <c r="F34" s="276">
        <v>2212</v>
      </c>
      <c r="G34" s="277" t="s">
        <v>82</v>
      </c>
      <c r="H34" s="278">
        <v>14407</v>
      </c>
      <c r="I34" s="251">
        <v>6198</v>
      </c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>
        <f>H34+I34</f>
        <v>20605</v>
      </c>
      <c r="X34" s="303"/>
      <c r="Y34" s="303"/>
    </row>
    <row r="35" spans="1:25" s="217" customFormat="1" ht="25.5" customHeight="1">
      <c r="A35" s="274" t="s">
        <v>83</v>
      </c>
      <c r="B35" s="275">
        <v>3690</v>
      </c>
      <c r="C35" s="250">
        <f>SUM(D35:D35)</f>
        <v>-1592</v>
      </c>
      <c r="D35" s="265">
        <f t="shared" si="10"/>
        <v>-1592</v>
      </c>
      <c r="E35" s="250">
        <v>2098</v>
      </c>
      <c r="F35" s="276">
        <v>2098</v>
      </c>
      <c r="G35" s="277" t="s">
        <v>84</v>
      </c>
      <c r="H35" s="278"/>
      <c r="I35" s="251">
        <f t="shared" si="11"/>
        <v>0</v>
      </c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0"/>
      <c r="W35" s="251">
        <f>H35+I35</f>
        <v>0</v>
      </c>
      <c r="X35" s="303"/>
      <c r="Y35" s="303"/>
    </row>
    <row r="36" spans="1:25" s="217" customFormat="1" ht="25.5" customHeight="1">
      <c r="A36" s="266" t="s">
        <v>85</v>
      </c>
      <c r="B36" s="279">
        <f>SUM(B37:B66)</f>
        <v>340433</v>
      </c>
      <c r="C36" s="279">
        <f>SUM(C37:C66)</f>
        <v>-15952.259999999995</v>
      </c>
      <c r="D36" s="265">
        <f t="shared" si="10"/>
        <v>-18080.26000000001</v>
      </c>
      <c r="E36" s="279">
        <f>SUM(E37:E66)</f>
        <v>349543.28</v>
      </c>
      <c r="F36" s="280">
        <f>SUM(F37:F66)</f>
        <v>322352.74</v>
      </c>
      <c r="G36" s="281"/>
      <c r="H36" s="282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303"/>
      <c r="Y36" s="303"/>
    </row>
    <row r="37" spans="1:25" s="217" customFormat="1" ht="25.5" customHeight="1">
      <c r="A37" s="283" t="s">
        <v>86</v>
      </c>
      <c r="B37" s="284">
        <v>90701</v>
      </c>
      <c r="C37" s="250">
        <f aca="true" t="shared" si="12" ref="C37:C48">SUM(D37:D37)</f>
        <v>9958</v>
      </c>
      <c r="D37" s="265">
        <f t="shared" si="10"/>
        <v>9958</v>
      </c>
      <c r="E37" s="250">
        <f>77777-2181</f>
        <v>75596</v>
      </c>
      <c r="F37" s="250">
        <v>100659</v>
      </c>
      <c r="G37" s="281"/>
      <c r="H37" s="282"/>
      <c r="I37" s="251">
        <f t="shared" si="11"/>
        <v>0</v>
      </c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>
        <f>H37+I37</f>
        <v>0</v>
      </c>
      <c r="X37" s="303"/>
      <c r="Y37" s="303"/>
    </row>
    <row r="38" spans="1:25" s="217" customFormat="1" ht="25.5" customHeight="1">
      <c r="A38" s="283" t="s">
        <v>87</v>
      </c>
      <c r="B38" s="284">
        <v>29667</v>
      </c>
      <c r="C38" s="250">
        <f t="shared" si="12"/>
        <v>-1400</v>
      </c>
      <c r="D38" s="265">
        <f t="shared" si="10"/>
        <v>-1400</v>
      </c>
      <c r="E38" s="250">
        <v>28267</v>
      </c>
      <c r="F38" s="250">
        <v>28267</v>
      </c>
      <c r="G38" s="281"/>
      <c r="H38" s="282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303"/>
      <c r="Y38" s="303"/>
    </row>
    <row r="39" spans="1:25" s="217" customFormat="1" ht="25.5" customHeight="1">
      <c r="A39" s="283" t="s">
        <v>88</v>
      </c>
      <c r="B39" s="284">
        <v>2728</v>
      </c>
      <c r="C39" s="250">
        <f t="shared" si="12"/>
        <v>6726</v>
      </c>
      <c r="D39" s="265">
        <f t="shared" si="10"/>
        <v>6726</v>
      </c>
      <c r="E39" s="249">
        <v>3725.56</v>
      </c>
      <c r="F39" s="249">
        <v>9454</v>
      </c>
      <c r="G39" s="281"/>
      <c r="H39" s="282"/>
      <c r="I39" s="250">
        <f>SUM(J39:V39)</f>
        <v>0</v>
      </c>
      <c r="J39" s="250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0"/>
      <c r="W39" s="251">
        <f>H39+I39</f>
        <v>0</v>
      </c>
      <c r="X39" s="303"/>
      <c r="Y39" s="303"/>
    </row>
    <row r="40" spans="1:25" s="217" customFormat="1" ht="25.5" customHeight="1">
      <c r="A40" s="283" t="s">
        <v>89</v>
      </c>
      <c r="B40" s="285">
        <v>11337</v>
      </c>
      <c r="C40" s="250">
        <f t="shared" si="12"/>
        <v>956</v>
      </c>
      <c r="D40" s="265">
        <f t="shared" si="10"/>
        <v>956</v>
      </c>
      <c r="E40" s="251">
        <v>12259</v>
      </c>
      <c r="F40" s="251">
        <v>12293</v>
      </c>
      <c r="G40" s="286" t="s">
        <v>90</v>
      </c>
      <c r="H40" s="282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>
        <f>H40+I40</f>
        <v>0</v>
      </c>
      <c r="X40" s="303"/>
      <c r="Y40" s="303"/>
    </row>
    <row r="41" spans="1:25" s="217" customFormat="1" ht="25.5" customHeight="1">
      <c r="A41" s="283" t="s">
        <v>91</v>
      </c>
      <c r="B41" s="285"/>
      <c r="C41" s="250">
        <f t="shared" si="12"/>
        <v>0</v>
      </c>
      <c r="D41" s="265">
        <f t="shared" si="10"/>
        <v>0</v>
      </c>
      <c r="E41" s="251">
        <v>1844</v>
      </c>
      <c r="F41" s="251"/>
      <c r="G41" s="287"/>
      <c r="H41" s="282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303"/>
      <c r="Y41" s="303"/>
    </row>
    <row r="42" spans="1:25" s="217" customFormat="1" ht="25.5" customHeight="1">
      <c r="A42" s="283" t="s">
        <v>92</v>
      </c>
      <c r="B42" s="285">
        <v>1661</v>
      </c>
      <c r="C42" s="250">
        <f t="shared" si="12"/>
        <v>0</v>
      </c>
      <c r="D42" s="265">
        <f t="shared" si="10"/>
        <v>0</v>
      </c>
      <c r="E42" s="251">
        <v>1661</v>
      </c>
      <c r="F42" s="251">
        <v>1661</v>
      </c>
      <c r="G42" s="251"/>
      <c r="H42" s="282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303"/>
      <c r="Y42" s="303"/>
    </row>
    <row r="43" spans="1:25" s="217" customFormat="1" ht="25.5" customHeight="1">
      <c r="A43" s="283" t="s">
        <v>93</v>
      </c>
      <c r="B43" s="285"/>
      <c r="C43" s="250">
        <f t="shared" si="12"/>
        <v>0</v>
      </c>
      <c r="D43" s="265">
        <f t="shared" si="10"/>
        <v>0</v>
      </c>
      <c r="E43" s="251">
        <v>96.69999999999999</v>
      </c>
      <c r="F43" s="251"/>
      <c r="G43" s="251"/>
      <c r="H43" s="282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303"/>
      <c r="Y43" s="303"/>
    </row>
    <row r="44" spans="1:25" s="217" customFormat="1" ht="25.5" customHeight="1">
      <c r="A44" s="283" t="s">
        <v>94</v>
      </c>
      <c r="B44" s="285"/>
      <c r="C44" s="250">
        <f t="shared" si="12"/>
        <v>0</v>
      </c>
      <c r="D44" s="265">
        <f t="shared" si="10"/>
        <v>0</v>
      </c>
      <c r="E44" s="251">
        <v>1199</v>
      </c>
      <c r="F44" s="251"/>
      <c r="G44" s="251"/>
      <c r="H44" s="282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303"/>
      <c r="Y44" s="303"/>
    </row>
    <row r="45" spans="1:25" s="217" customFormat="1" ht="25.5" customHeight="1">
      <c r="A45" s="283" t="s">
        <v>95</v>
      </c>
      <c r="B45" s="284">
        <v>5151</v>
      </c>
      <c r="C45" s="250">
        <f t="shared" si="12"/>
        <v>747.6499999999996</v>
      </c>
      <c r="D45" s="265">
        <f t="shared" si="10"/>
        <v>747.6499999999996</v>
      </c>
      <c r="E45" s="251">
        <v>4799.76</v>
      </c>
      <c r="F45" s="251">
        <v>5898.65</v>
      </c>
      <c r="G45" s="265" t="s">
        <v>96</v>
      </c>
      <c r="H45" s="282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65">
        <f>F72-W29-W30-W40</f>
        <v>-0.1600000000325963</v>
      </c>
      <c r="X45" s="303"/>
      <c r="Y45" s="303"/>
    </row>
    <row r="46" spans="1:25" s="217" customFormat="1" ht="25.5" customHeight="1">
      <c r="A46" s="283" t="s">
        <v>97</v>
      </c>
      <c r="B46" s="284">
        <v>4001</v>
      </c>
      <c r="C46" s="250">
        <f t="shared" si="12"/>
        <v>598</v>
      </c>
      <c r="D46" s="265">
        <f t="shared" si="10"/>
        <v>598</v>
      </c>
      <c r="E46" s="251">
        <v>4001</v>
      </c>
      <c r="F46" s="251">
        <v>4599</v>
      </c>
      <c r="G46" s="251"/>
      <c r="H46" s="282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303"/>
      <c r="Y46" s="303"/>
    </row>
    <row r="47" spans="1:25" s="217" customFormat="1" ht="25.5" customHeight="1">
      <c r="A47" s="283" t="s">
        <v>98</v>
      </c>
      <c r="B47" s="284">
        <v>19742</v>
      </c>
      <c r="C47" s="250">
        <f t="shared" si="12"/>
        <v>-70</v>
      </c>
      <c r="D47" s="265">
        <f t="shared" si="10"/>
        <v>-70</v>
      </c>
      <c r="E47" s="251">
        <f>245+19742</f>
        <v>19987</v>
      </c>
      <c r="F47" s="251">
        <v>19672</v>
      </c>
      <c r="G47" s="251"/>
      <c r="H47" s="282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303"/>
      <c r="Y47" s="303"/>
    </row>
    <row r="48" spans="1:25" s="217" customFormat="1" ht="25.5" customHeight="1">
      <c r="A48" s="283" t="s">
        <v>99</v>
      </c>
      <c r="B48" s="284">
        <v>2222</v>
      </c>
      <c r="C48" s="250">
        <f t="shared" si="12"/>
        <v>320</v>
      </c>
      <c r="D48" s="265">
        <f t="shared" si="10"/>
        <v>320</v>
      </c>
      <c r="E48" s="251">
        <v>2222</v>
      </c>
      <c r="F48" s="251">
        <v>2542</v>
      </c>
      <c r="G48" s="251"/>
      <c r="H48" s="282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303"/>
      <c r="Y48" s="303"/>
    </row>
    <row r="49" spans="1:25" s="217" customFormat="1" ht="25.5" customHeight="1">
      <c r="A49" s="283" t="s">
        <v>100</v>
      </c>
      <c r="B49" s="284">
        <v>2128</v>
      </c>
      <c r="C49" s="250"/>
      <c r="D49" s="265">
        <f t="shared" si="10"/>
        <v>-2128</v>
      </c>
      <c r="E49" s="251">
        <v>2181</v>
      </c>
      <c r="F49" s="251"/>
      <c r="G49" s="251"/>
      <c r="H49" s="282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303"/>
      <c r="Y49" s="303"/>
    </row>
    <row r="50" spans="1:25" s="217" customFormat="1" ht="25.5" customHeight="1">
      <c r="A50" s="283" t="s">
        <v>101</v>
      </c>
      <c r="B50" s="284">
        <v>5356</v>
      </c>
      <c r="C50" s="250">
        <f>SUM(D50:D50)</f>
        <v>803</v>
      </c>
      <c r="D50" s="265">
        <f t="shared" si="10"/>
        <v>803</v>
      </c>
      <c r="E50" s="251">
        <v>5588</v>
      </c>
      <c r="F50" s="251">
        <v>6159</v>
      </c>
      <c r="G50" s="251"/>
      <c r="H50" s="282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303"/>
      <c r="Y50" s="303"/>
    </row>
    <row r="51" spans="1:25" s="217" customFormat="1" ht="25.5" customHeight="1">
      <c r="A51" s="283" t="s">
        <v>102</v>
      </c>
      <c r="B51" s="284">
        <v>1375</v>
      </c>
      <c r="C51" s="250">
        <f>SUM(D51:D51)</f>
        <v>-195.8499999999999</v>
      </c>
      <c r="D51" s="265">
        <f t="shared" si="10"/>
        <v>-195.8499999999999</v>
      </c>
      <c r="E51" s="251">
        <v>987.14</v>
      </c>
      <c r="F51" s="251">
        <v>1179.15</v>
      </c>
      <c r="G51" s="282"/>
      <c r="H51" s="282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303"/>
      <c r="Y51" s="303"/>
    </row>
    <row r="52" spans="1:25" s="217" customFormat="1" ht="25.5" customHeight="1">
      <c r="A52" s="283" t="s">
        <v>103</v>
      </c>
      <c r="B52" s="284">
        <v>24162</v>
      </c>
      <c r="C52" s="250">
        <f>SUM(D52:D52)</f>
        <v>1296</v>
      </c>
      <c r="D52" s="265">
        <f t="shared" si="10"/>
        <v>1296</v>
      </c>
      <c r="E52" s="282">
        <v>23307.37</v>
      </c>
      <c r="F52" s="282">
        <v>25458</v>
      </c>
      <c r="G52" s="251"/>
      <c r="H52" s="282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303"/>
      <c r="Y52" s="303"/>
    </row>
    <row r="53" spans="1:25" s="217" customFormat="1" ht="25.5" customHeight="1">
      <c r="A53" s="283" t="s">
        <v>104</v>
      </c>
      <c r="B53" s="284"/>
      <c r="C53" s="250">
        <f>SUM(D53:D53)</f>
        <v>50</v>
      </c>
      <c r="D53" s="265">
        <f t="shared" si="10"/>
        <v>50</v>
      </c>
      <c r="E53" s="282">
        <v>80</v>
      </c>
      <c r="F53" s="282">
        <v>50</v>
      </c>
      <c r="G53" s="251"/>
      <c r="H53" s="282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303"/>
      <c r="Y53" s="303"/>
    </row>
    <row r="54" spans="1:25" s="217" customFormat="1" ht="25.5" customHeight="1">
      <c r="A54" s="283" t="s">
        <v>105</v>
      </c>
      <c r="B54" s="284">
        <v>1590</v>
      </c>
      <c r="C54" s="250">
        <f aca="true" t="shared" si="13" ref="C54:C65">SUM(D54:D54)</f>
        <v>-553</v>
      </c>
      <c r="D54" s="265">
        <f t="shared" si="10"/>
        <v>-553</v>
      </c>
      <c r="E54" s="251">
        <v>1675.24</v>
      </c>
      <c r="F54" s="251">
        <v>1037</v>
      </c>
      <c r="G54" s="243"/>
      <c r="H54" s="282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303"/>
      <c r="Y54" s="303"/>
    </row>
    <row r="55" spans="1:25" s="217" customFormat="1" ht="25.5" customHeight="1">
      <c r="A55" s="283" t="s">
        <v>106</v>
      </c>
      <c r="B55" s="284">
        <v>36126</v>
      </c>
      <c r="C55" s="250">
        <f t="shared" si="13"/>
        <v>1550</v>
      </c>
      <c r="D55" s="265">
        <f t="shared" si="10"/>
        <v>1550</v>
      </c>
      <c r="E55" s="251">
        <v>36867.86</v>
      </c>
      <c r="F55" s="251">
        <v>37676</v>
      </c>
      <c r="G55" s="243"/>
      <c r="H55" s="282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303"/>
      <c r="Y55" s="303"/>
    </row>
    <row r="56" spans="1:25" s="217" customFormat="1" ht="25.5" customHeight="1">
      <c r="A56" s="283" t="s">
        <v>107</v>
      </c>
      <c r="B56" s="284">
        <v>46990</v>
      </c>
      <c r="C56" s="250">
        <f t="shared" si="13"/>
        <v>-34495</v>
      </c>
      <c r="D56" s="265">
        <f t="shared" si="10"/>
        <v>-34495</v>
      </c>
      <c r="E56" s="251">
        <v>44823.94</v>
      </c>
      <c r="F56" s="251">
        <v>12495</v>
      </c>
      <c r="G56" s="243"/>
      <c r="H56" s="282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303"/>
      <c r="Y56" s="303"/>
    </row>
    <row r="57" spans="1:25" s="218" customFormat="1" ht="25.5" customHeight="1">
      <c r="A57" s="283" t="s">
        <v>108</v>
      </c>
      <c r="B57" s="284">
        <v>130</v>
      </c>
      <c r="C57" s="250">
        <f t="shared" si="13"/>
        <v>11.939999999999998</v>
      </c>
      <c r="D57" s="265">
        <f t="shared" si="10"/>
        <v>11.939999999999998</v>
      </c>
      <c r="E57" s="267">
        <v>98</v>
      </c>
      <c r="F57" s="267">
        <v>141.94</v>
      </c>
      <c r="G57" s="265"/>
      <c r="H57" s="264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304"/>
      <c r="Y57" s="304"/>
    </row>
    <row r="58" spans="1:25" s="218" customFormat="1" ht="25.5" customHeight="1">
      <c r="A58" s="283" t="s">
        <v>109</v>
      </c>
      <c r="B58" s="284">
        <v>46191</v>
      </c>
      <c r="C58" s="250">
        <f t="shared" si="13"/>
        <v>-16792</v>
      </c>
      <c r="D58" s="265">
        <f t="shared" si="10"/>
        <v>-16792</v>
      </c>
      <c r="E58" s="251">
        <v>46045.64</v>
      </c>
      <c r="F58" s="251">
        <v>29399</v>
      </c>
      <c r="G58" s="265"/>
      <c r="H58" s="264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304"/>
      <c r="Y58" s="304"/>
    </row>
    <row r="59" spans="1:25" s="218" customFormat="1" ht="25.5" customHeight="1">
      <c r="A59" s="283" t="s">
        <v>110</v>
      </c>
      <c r="B59" s="284">
        <v>4515</v>
      </c>
      <c r="C59" s="250">
        <f t="shared" si="13"/>
        <v>579</v>
      </c>
      <c r="D59" s="265">
        <f t="shared" si="10"/>
        <v>579</v>
      </c>
      <c r="E59" s="251">
        <v>4753</v>
      </c>
      <c r="F59" s="251">
        <v>5094</v>
      </c>
      <c r="G59" s="265"/>
      <c r="H59" s="264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304"/>
      <c r="Y59" s="304"/>
    </row>
    <row r="60" spans="1:25" s="218" customFormat="1" ht="25.5" customHeight="1">
      <c r="A60" s="283" t="s">
        <v>111</v>
      </c>
      <c r="B60" s="285">
        <v>1118</v>
      </c>
      <c r="C60" s="250">
        <f t="shared" si="13"/>
        <v>1084</v>
      </c>
      <c r="D60" s="265">
        <f t="shared" si="10"/>
        <v>1084</v>
      </c>
      <c r="E60" s="251">
        <v>1177</v>
      </c>
      <c r="F60" s="251">
        <v>2202</v>
      </c>
      <c r="G60" s="265"/>
      <c r="H60" s="264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304"/>
      <c r="Y60" s="304"/>
    </row>
    <row r="61" spans="1:25" s="218" customFormat="1" ht="25.5" customHeight="1">
      <c r="A61" s="283" t="s">
        <v>112</v>
      </c>
      <c r="B61" s="284">
        <v>253</v>
      </c>
      <c r="C61" s="250">
        <f t="shared" si="13"/>
        <v>108</v>
      </c>
      <c r="D61" s="265">
        <f t="shared" si="10"/>
        <v>108</v>
      </c>
      <c r="E61" s="251"/>
      <c r="F61" s="251">
        <v>361</v>
      </c>
      <c r="G61" s="265"/>
      <c r="H61" s="264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304"/>
      <c r="Y61" s="304"/>
    </row>
    <row r="62" spans="1:25" s="218" customFormat="1" ht="25.5" customHeight="1">
      <c r="A62" s="283" t="s">
        <v>113</v>
      </c>
      <c r="B62" s="284"/>
      <c r="C62" s="250">
        <f t="shared" si="13"/>
        <v>1031</v>
      </c>
      <c r="D62" s="265">
        <f t="shared" si="10"/>
        <v>1031</v>
      </c>
      <c r="E62" s="251"/>
      <c r="F62" s="251">
        <v>1031</v>
      </c>
      <c r="G62" s="265"/>
      <c r="H62" s="264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304"/>
      <c r="Y62" s="304"/>
    </row>
    <row r="63" spans="1:25" s="218" customFormat="1" ht="25.5" customHeight="1">
      <c r="A63" s="283" t="s">
        <v>114</v>
      </c>
      <c r="B63" s="284"/>
      <c r="C63" s="250">
        <f t="shared" si="13"/>
        <v>9048</v>
      </c>
      <c r="D63" s="265">
        <f t="shared" si="10"/>
        <v>9048</v>
      </c>
      <c r="E63" s="251">
        <v>4139</v>
      </c>
      <c r="F63" s="251">
        <v>9048</v>
      </c>
      <c r="G63" s="265"/>
      <c r="H63" s="264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304"/>
      <c r="Y63" s="304"/>
    </row>
    <row r="64" spans="1:25" s="218" customFormat="1" ht="25.5" customHeight="1">
      <c r="A64" s="283" t="s">
        <v>115</v>
      </c>
      <c r="B64" s="284"/>
      <c r="C64" s="250">
        <f t="shared" si="13"/>
        <v>700</v>
      </c>
      <c r="D64" s="265">
        <f t="shared" si="10"/>
        <v>700</v>
      </c>
      <c r="E64" s="251">
        <v>1554</v>
      </c>
      <c r="F64" s="251">
        <v>700</v>
      </c>
      <c r="G64" s="265"/>
      <c r="H64" s="264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304"/>
      <c r="Y64" s="304"/>
    </row>
    <row r="65" spans="1:25" s="218" customFormat="1" ht="25.5" customHeight="1">
      <c r="A65" s="283" t="s">
        <v>116</v>
      </c>
      <c r="B65" s="284">
        <v>1140</v>
      </c>
      <c r="C65" s="250">
        <f t="shared" si="13"/>
        <v>-1140</v>
      </c>
      <c r="D65" s="265">
        <f t="shared" si="10"/>
        <v>-1140</v>
      </c>
      <c r="E65" s="251">
        <v>19249</v>
      </c>
      <c r="F65" s="251"/>
      <c r="G65" s="265"/>
      <c r="H65" s="264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304"/>
      <c r="Y65" s="304"/>
    </row>
    <row r="66" spans="1:25" s="218" customFormat="1" ht="25.5" customHeight="1">
      <c r="A66" s="283" t="s">
        <v>117</v>
      </c>
      <c r="B66" s="284">
        <v>2149</v>
      </c>
      <c r="C66" s="250">
        <f aca="true" t="shared" si="14" ref="C66:C71">SUM(D66:D66)</f>
        <v>3127</v>
      </c>
      <c r="D66" s="265">
        <f t="shared" si="10"/>
        <v>3127</v>
      </c>
      <c r="E66" s="251">
        <v>1359.07</v>
      </c>
      <c r="F66" s="251">
        <v>5276</v>
      </c>
      <c r="G66" s="265"/>
      <c r="H66" s="264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304"/>
      <c r="Y66" s="304"/>
    </row>
    <row r="67" spans="1:25" s="218" customFormat="1" ht="25.5" customHeight="1">
      <c r="A67" s="266" t="s">
        <v>118</v>
      </c>
      <c r="B67" s="267">
        <v>29000</v>
      </c>
      <c r="C67" s="250">
        <f t="shared" si="14"/>
        <v>-11081</v>
      </c>
      <c r="D67" s="265">
        <f t="shared" si="10"/>
        <v>-11081</v>
      </c>
      <c r="E67" s="251">
        <f>58608-8200+307+3033</f>
        <v>53748</v>
      </c>
      <c r="F67" s="276">
        <f>17919</f>
        <v>17919</v>
      </c>
      <c r="G67" s="265"/>
      <c r="H67" s="264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304"/>
      <c r="Y67" s="304"/>
    </row>
    <row r="68" spans="1:25" s="217" customFormat="1" ht="25.5" customHeight="1">
      <c r="A68" s="266" t="s">
        <v>119</v>
      </c>
      <c r="B68" s="307"/>
      <c r="C68" s="246">
        <v>8600</v>
      </c>
      <c r="D68" s="265">
        <f t="shared" si="10"/>
        <v>9500</v>
      </c>
      <c r="E68" s="265">
        <v>8600</v>
      </c>
      <c r="F68" s="308">
        <v>9500</v>
      </c>
      <c r="G68" s="251"/>
      <c r="H68" s="282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303"/>
      <c r="Y68" s="303"/>
    </row>
    <row r="69" spans="1:25" s="217" customFormat="1" ht="25.5" customHeight="1">
      <c r="A69" s="266" t="s">
        <v>120</v>
      </c>
      <c r="B69" s="309"/>
      <c r="C69" s="246">
        <v>13382</v>
      </c>
      <c r="D69" s="265"/>
      <c r="E69" s="265">
        <v>13382</v>
      </c>
      <c r="F69" s="308">
        <v>0</v>
      </c>
      <c r="G69" s="251"/>
      <c r="H69" s="282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303"/>
      <c r="Y69" s="303"/>
    </row>
    <row r="70" spans="1:25" s="217" customFormat="1" ht="25.5" customHeight="1">
      <c r="A70" s="266" t="s">
        <v>121</v>
      </c>
      <c r="B70" s="267">
        <v>12744</v>
      </c>
      <c r="C70" s="246">
        <f t="shared" si="14"/>
        <v>-12529</v>
      </c>
      <c r="D70" s="265">
        <f t="shared" si="10"/>
        <v>-12529</v>
      </c>
      <c r="E70" s="265">
        <v>16271</v>
      </c>
      <c r="F70" s="308">
        <v>215</v>
      </c>
      <c r="G70" s="251"/>
      <c r="H70" s="282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303"/>
      <c r="Y70" s="303"/>
    </row>
    <row r="71" spans="1:25" s="217" customFormat="1" ht="25.5" customHeight="1">
      <c r="A71" s="266" t="s">
        <v>122</v>
      </c>
      <c r="B71" s="270">
        <v>46059</v>
      </c>
      <c r="C71" s="246">
        <f t="shared" si="14"/>
        <v>0</v>
      </c>
      <c r="D71" s="265">
        <f t="shared" si="10"/>
        <v>0</v>
      </c>
      <c r="E71" s="264">
        <v>50255</v>
      </c>
      <c r="F71" s="308">
        <v>46059</v>
      </c>
      <c r="G71" s="251"/>
      <c r="H71" s="282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303"/>
      <c r="Y71" s="303"/>
    </row>
    <row r="72" spans="1:25" s="217" customFormat="1" ht="25.5" customHeight="1">
      <c r="A72" s="265" t="s">
        <v>123</v>
      </c>
      <c r="B72" s="264">
        <f>B29+B30+B68+B69+B70+B71</f>
        <v>597987</v>
      </c>
      <c r="C72" s="265">
        <f>C29+C30+C68+C69+C70+C71</f>
        <v>-17071.259999999995</v>
      </c>
      <c r="D72" s="265">
        <f t="shared" si="10"/>
        <v>-31681.26000000001</v>
      </c>
      <c r="E72" s="265"/>
      <c r="F72" s="308">
        <f>F29+F30+F68+F69+F70+F71</f>
        <v>566305.74</v>
      </c>
      <c r="G72" s="265" t="s">
        <v>124</v>
      </c>
      <c r="H72" s="264">
        <f aca="true" t="shared" si="15" ref="H72:W72">H29+H30+H45+H40</f>
        <v>597987</v>
      </c>
      <c r="I72" s="290">
        <f t="shared" si="15"/>
        <v>-31681.100000000006</v>
      </c>
      <c r="J72" s="290">
        <f t="shared" si="15"/>
        <v>-12529</v>
      </c>
      <c r="K72" s="265">
        <f t="shared" si="15"/>
        <v>0</v>
      </c>
      <c r="L72" s="265">
        <f t="shared" si="15"/>
        <v>-11081.09</v>
      </c>
      <c r="M72" s="290">
        <f t="shared" si="15"/>
        <v>-24209.010000000002</v>
      </c>
      <c r="N72" s="265">
        <f t="shared" si="15"/>
        <v>0</v>
      </c>
      <c r="O72" s="265">
        <f t="shared" si="15"/>
        <v>9500</v>
      </c>
      <c r="P72" s="290">
        <f t="shared" si="15"/>
        <v>0</v>
      </c>
      <c r="Q72" s="265">
        <f t="shared" si="15"/>
        <v>0</v>
      </c>
      <c r="R72" s="265">
        <f t="shared" si="15"/>
        <v>0</v>
      </c>
      <c r="S72" s="265">
        <f t="shared" si="15"/>
        <v>0</v>
      </c>
      <c r="T72" s="265">
        <f t="shared" si="15"/>
        <v>0</v>
      </c>
      <c r="U72" s="265">
        <f t="shared" si="15"/>
        <v>0</v>
      </c>
      <c r="V72" s="265">
        <f t="shared" si="15"/>
        <v>440</v>
      </c>
      <c r="W72" s="265">
        <f t="shared" si="15"/>
        <v>566305.74</v>
      </c>
      <c r="X72" s="303">
        <f>W72-F72</f>
        <v>0</v>
      </c>
      <c r="Y72" s="303"/>
    </row>
  </sheetData>
  <sheetProtection/>
  <mergeCells count="5">
    <mergeCell ref="A1:W1"/>
    <mergeCell ref="A3:F3"/>
    <mergeCell ref="G3:W3"/>
    <mergeCell ref="X3:X4"/>
    <mergeCell ref="Y3:Y4"/>
  </mergeCells>
  <printOptions horizontalCentered="1"/>
  <pageMargins left="0.35" right="0.35" top="0.59" bottom="0.59" header="0.51" footer="0.51"/>
  <pageSetup firstPageNumber="1" useFirstPageNumber="1" horizontalDpi="600" verticalDpi="600" orientation="landscape" paperSize="9" scale="85"/>
  <headerFooter scaleWithDoc="0" alignWithMargins="0">
    <oddFooter>&amp;C&amp;"宋体"&amp;9&amp;P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54"/>
  <sheetViews>
    <sheetView showZeros="0" tabSelected="1" zoomScaleSheetLayoutView="100" workbookViewId="0" topLeftCell="A1">
      <pane ySplit="1665" topLeftCell="A22" activePane="bottomLeft" state="split"/>
      <selection pane="bottomLeft" activeCell="D58" sqref="D58"/>
    </sheetView>
  </sheetViews>
  <sheetFormatPr defaultColWidth="9" defaultRowHeight="11.25"/>
  <cols>
    <col min="1" max="1" width="31.5" style="0" customWidth="1"/>
    <col min="2" max="2" width="14.66015625" style="183" customWidth="1"/>
    <col min="3" max="3" width="14.66015625" style="184" customWidth="1"/>
    <col min="4" max="8" width="14.66015625" style="183" customWidth="1"/>
    <col min="9" max="9" width="27.66015625" style="0" hidden="1" customWidth="1"/>
    <col min="11" max="11" width="12.83203125" style="0" bestFit="1" customWidth="1"/>
    <col min="14" max="16" width="13" style="0" bestFit="1" customWidth="1"/>
  </cols>
  <sheetData>
    <row r="1" spans="1:9" ht="18.75" customHeight="1">
      <c r="A1" s="185" t="s">
        <v>125</v>
      </c>
      <c r="B1" s="185"/>
      <c r="C1" s="186"/>
      <c r="D1" s="185"/>
      <c r="E1" s="185"/>
      <c r="F1" s="185"/>
      <c r="G1" s="185"/>
      <c r="H1" s="185"/>
      <c r="I1" s="185"/>
    </row>
    <row r="2" spans="1:8" ht="15">
      <c r="A2" s="102"/>
      <c r="B2" s="187"/>
      <c r="G2" s="188" t="s">
        <v>1</v>
      </c>
      <c r="H2" s="188"/>
    </row>
    <row r="3" spans="1:9" ht="19.5" customHeight="1">
      <c r="A3" s="189" t="s">
        <v>126</v>
      </c>
      <c r="B3" s="190" t="s">
        <v>127</v>
      </c>
      <c r="C3" s="191"/>
      <c r="D3" s="190"/>
      <c r="E3" s="190"/>
      <c r="F3" s="190"/>
      <c r="G3" s="190"/>
      <c r="H3" s="190"/>
      <c r="I3" s="210" t="s">
        <v>128</v>
      </c>
    </row>
    <row r="4" spans="1:9" ht="19.5" customHeight="1">
      <c r="A4" s="189"/>
      <c r="B4" s="192" t="s">
        <v>129</v>
      </c>
      <c r="C4" s="193" t="s">
        <v>130</v>
      </c>
      <c r="D4" s="193" t="s">
        <v>131</v>
      </c>
      <c r="E4" s="193" t="s">
        <v>132</v>
      </c>
      <c r="F4" s="194" t="s">
        <v>133</v>
      </c>
      <c r="G4" s="195" t="s">
        <v>134</v>
      </c>
      <c r="H4" s="193" t="s">
        <v>135</v>
      </c>
      <c r="I4" s="211"/>
    </row>
    <row r="5" spans="1:9" ht="19.5" customHeight="1">
      <c r="A5" s="196" t="s">
        <v>136</v>
      </c>
      <c r="B5" s="197">
        <f>SUM(B6:B20)</f>
        <v>115276</v>
      </c>
      <c r="C5" s="197">
        <f>SUM(C6:C20)</f>
        <v>104507</v>
      </c>
      <c r="D5" s="197">
        <f>SUM(D6:D20)</f>
        <v>103891</v>
      </c>
      <c r="E5" s="198">
        <f>D5/B5</f>
        <v>0.9012370311252993</v>
      </c>
      <c r="F5" s="197">
        <f>SUM(F6:F20)</f>
        <v>0</v>
      </c>
      <c r="G5" s="197">
        <f>SUM(G6:G20)</f>
        <v>115276</v>
      </c>
      <c r="H5" s="198">
        <f>(G5-C5)/C5</f>
        <v>0.10304572899423005</v>
      </c>
      <c r="I5" s="212"/>
    </row>
    <row r="6" spans="1:9" ht="19.5" customHeight="1">
      <c r="A6" s="199" t="s">
        <v>26</v>
      </c>
      <c r="B6" s="200">
        <v>43989</v>
      </c>
      <c r="C6" s="200">
        <v>39245</v>
      </c>
      <c r="D6" s="200">
        <v>34314</v>
      </c>
      <c r="E6" s="201">
        <f>D6/B6</f>
        <v>0.7800586510263929</v>
      </c>
      <c r="F6" s="200">
        <v>-6500</v>
      </c>
      <c r="G6" s="202">
        <f>B6+F6</f>
        <v>37489</v>
      </c>
      <c r="H6" s="201">
        <f>(G6-C6)/C6</f>
        <v>-0.04474455344629889</v>
      </c>
      <c r="I6" s="212"/>
    </row>
    <row r="7" spans="1:9" ht="19.5" customHeight="1">
      <c r="A7" s="199" t="s">
        <v>28</v>
      </c>
      <c r="B7" s="200">
        <v>8898</v>
      </c>
      <c r="C7" s="200">
        <v>8018</v>
      </c>
      <c r="D7" s="200">
        <v>7528</v>
      </c>
      <c r="E7" s="201">
        <f aca="true" t="shared" si="0" ref="E7:E22">D7/B7</f>
        <v>0.8460328163632277</v>
      </c>
      <c r="F7" s="200">
        <v>-500</v>
      </c>
      <c r="G7" s="202">
        <f aca="true" t="shared" si="1" ref="G7:G20">B7+F7</f>
        <v>8398</v>
      </c>
      <c r="H7" s="201">
        <f aca="true" t="shared" si="2" ref="H7:H22">(G7-C7)/C7</f>
        <v>0.04739336492890995</v>
      </c>
      <c r="I7" s="212"/>
    </row>
    <row r="8" spans="1:9" ht="19.5" customHeight="1">
      <c r="A8" s="199" t="s">
        <v>30</v>
      </c>
      <c r="B8" s="200">
        <v>1733</v>
      </c>
      <c r="C8" s="200">
        <v>1547</v>
      </c>
      <c r="D8" s="200">
        <v>1501</v>
      </c>
      <c r="E8" s="201">
        <f t="shared" si="0"/>
        <v>0.8661281015579919</v>
      </c>
      <c r="F8" s="200"/>
      <c r="G8" s="202">
        <f t="shared" si="1"/>
        <v>1733</v>
      </c>
      <c r="H8" s="201">
        <f t="shared" si="2"/>
        <v>0.12023270846800259</v>
      </c>
      <c r="I8" s="212"/>
    </row>
    <row r="9" spans="1:9" ht="19.5" customHeight="1">
      <c r="A9" s="199" t="s">
        <v>32</v>
      </c>
      <c r="B9" s="200">
        <v>2588</v>
      </c>
      <c r="C9" s="200">
        <v>2333</v>
      </c>
      <c r="D9" s="200">
        <v>1994</v>
      </c>
      <c r="E9" s="201">
        <f t="shared" si="0"/>
        <v>0.7704791344667697</v>
      </c>
      <c r="F9" s="200">
        <v>-194</v>
      </c>
      <c r="G9" s="202">
        <f t="shared" si="1"/>
        <v>2394</v>
      </c>
      <c r="H9" s="201">
        <f t="shared" si="2"/>
        <v>0.02614659237033862</v>
      </c>
      <c r="I9" s="212"/>
    </row>
    <row r="10" spans="1:9" ht="19.5" customHeight="1">
      <c r="A10" s="199" t="s">
        <v>34</v>
      </c>
      <c r="B10" s="200">
        <v>6290</v>
      </c>
      <c r="C10" s="200">
        <v>5671</v>
      </c>
      <c r="D10" s="200">
        <v>4918</v>
      </c>
      <c r="E10" s="201">
        <f t="shared" si="0"/>
        <v>0.7818759936406995</v>
      </c>
      <c r="F10" s="200">
        <v>-200</v>
      </c>
      <c r="G10" s="202">
        <f t="shared" si="1"/>
        <v>6090</v>
      </c>
      <c r="H10" s="201">
        <f t="shared" si="2"/>
        <v>0.07388467642391112</v>
      </c>
      <c r="I10" s="212"/>
    </row>
    <row r="11" spans="1:9" ht="19.5" customHeight="1">
      <c r="A11" s="199" t="s">
        <v>36</v>
      </c>
      <c r="B11" s="200">
        <v>3560</v>
      </c>
      <c r="C11" s="200">
        <v>3274</v>
      </c>
      <c r="D11" s="200">
        <v>6702</v>
      </c>
      <c r="E11" s="201">
        <f t="shared" si="0"/>
        <v>1.8825842696629214</v>
      </c>
      <c r="F11" s="200">
        <v>3500</v>
      </c>
      <c r="G11" s="202">
        <f t="shared" si="1"/>
        <v>7060</v>
      </c>
      <c r="H11" s="201">
        <f t="shared" si="2"/>
        <v>1.156383628588882</v>
      </c>
      <c r="I11" s="212"/>
    </row>
    <row r="12" spans="1:9" ht="19.5" customHeight="1">
      <c r="A12" s="199" t="s">
        <v>38</v>
      </c>
      <c r="B12" s="200">
        <v>2613</v>
      </c>
      <c r="C12" s="200">
        <v>2376</v>
      </c>
      <c r="D12" s="200">
        <v>3235</v>
      </c>
      <c r="E12" s="201">
        <f t="shared" si="0"/>
        <v>1.2380405663987752</v>
      </c>
      <c r="F12" s="200">
        <v>700</v>
      </c>
      <c r="G12" s="202">
        <f t="shared" si="1"/>
        <v>3313</v>
      </c>
      <c r="H12" s="201">
        <f t="shared" si="2"/>
        <v>0.39436026936026936</v>
      </c>
      <c r="I12" s="212"/>
    </row>
    <row r="13" spans="1:9" ht="19.5" customHeight="1">
      <c r="A13" s="199" t="s">
        <v>40</v>
      </c>
      <c r="B13" s="200">
        <v>6335</v>
      </c>
      <c r="C13" s="200">
        <v>5773</v>
      </c>
      <c r="D13" s="200">
        <v>3863</v>
      </c>
      <c r="E13" s="201">
        <f t="shared" si="0"/>
        <v>0.6097868981846882</v>
      </c>
      <c r="F13" s="200">
        <v>-2300</v>
      </c>
      <c r="G13" s="202">
        <f t="shared" si="1"/>
        <v>4035</v>
      </c>
      <c r="H13" s="201">
        <f t="shared" si="2"/>
        <v>-0.3010566429932444</v>
      </c>
      <c r="I13" s="212"/>
    </row>
    <row r="14" spans="1:9" ht="19.5" customHeight="1">
      <c r="A14" s="199" t="s">
        <v>42</v>
      </c>
      <c r="B14" s="200">
        <v>17300</v>
      </c>
      <c r="C14" s="200">
        <v>15733</v>
      </c>
      <c r="D14" s="200">
        <v>22864</v>
      </c>
      <c r="E14" s="201">
        <f t="shared" si="0"/>
        <v>1.3216184971098266</v>
      </c>
      <c r="F14" s="200">
        <v>7267</v>
      </c>
      <c r="G14" s="202">
        <f t="shared" si="1"/>
        <v>24567</v>
      </c>
      <c r="H14" s="201">
        <f t="shared" si="2"/>
        <v>0.5614949469268417</v>
      </c>
      <c r="I14" s="212"/>
    </row>
    <row r="15" spans="1:9" ht="19.5" customHeight="1">
      <c r="A15" s="199" t="s">
        <v>44</v>
      </c>
      <c r="B15" s="200">
        <v>1200</v>
      </c>
      <c r="C15" s="200">
        <v>1110</v>
      </c>
      <c r="D15" s="200">
        <v>1020</v>
      </c>
      <c r="E15" s="201">
        <f t="shared" si="0"/>
        <v>0.85</v>
      </c>
      <c r="F15" s="200"/>
      <c r="G15" s="202">
        <f t="shared" si="1"/>
        <v>1200</v>
      </c>
      <c r="H15" s="201">
        <f t="shared" si="2"/>
        <v>0.08108108108108109</v>
      </c>
      <c r="I15" s="212"/>
    </row>
    <row r="16" spans="1:9" ht="19.5" customHeight="1">
      <c r="A16" s="199" t="s">
        <v>46</v>
      </c>
      <c r="B16" s="200">
        <v>2950</v>
      </c>
      <c r="C16" s="200">
        <v>2570</v>
      </c>
      <c r="D16" s="200">
        <v>3077</v>
      </c>
      <c r="E16" s="201">
        <f t="shared" si="0"/>
        <v>1.0430508474576272</v>
      </c>
      <c r="F16" s="200">
        <v>127</v>
      </c>
      <c r="G16" s="202">
        <f t="shared" si="1"/>
        <v>3077</v>
      </c>
      <c r="H16" s="201">
        <f t="shared" si="2"/>
        <v>0.19727626459143968</v>
      </c>
      <c r="I16" s="212"/>
    </row>
    <row r="17" spans="1:9" ht="19.5" customHeight="1">
      <c r="A17" s="199" t="s">
        <v>48</v>
      </c>
      <c r="B17" s="200">
        <v>5500</v>
      </c>
      <c r="C17" s="200">
        <v>5434</v>
      </c>
      <c r="D17" s="200">
        <v>241</v>
      </c>
      <c r="E17" s="201">
        <f t="shared" si="0"/>
        <v>0.04381818181818182</v>
      </c>
      <c r="F17" s="200">
        <v>-5000</v>
      </c>
      <c r="G17" s="202">
        <f t="shared" si="1"/>
        <v>500</v>
      </c>
      <c r="H17" s="201">
        <f t="shared" si="2"/>
        <v>-0.9079867500920132</v>
      </c>
      <c r="I17" s="212"/>
    </row>
    <row r="18" spans="1:9" ht="19.5" customHeight="1">
      <c r="A18" s="199" t="s">
        <v>50</v>
      </c>
      <c r="B18" s="200">
        <v>11900</v>
      </c>
      <c r="C18" s="200">
        <v>11050</v>
      </c>
      <c r="D18" s="200">
        <v>12259</v>
      </c>
      <c r="E18" s="201">
        <f t="shared" si="0"/>
        <v>1.0301680672268907</v>
      </c>
      <c r="F18" s="200">
        <v>3100</v>
      </c>
      <c r="G18" s="202">
        <f t="shared" si="1"/>
        <v>15000</v>
      </c>
      <c r="H18" s="201">
        <f t="shared" si="2"/>
        <v>0.3574660633484163</v>
      </c>
      <c r="I18" s="212"/>
    </row>
    <row r="19" spans="1:9" ht="19.5" customHeight="1">
      <c r="A19" s="199" t="s">
        <v>52</v>
      </c>
      <c r="B19" s="200">
        <v>420</v>
      </c>
      <c r="C19" s="200">
        <v>373</v>
      </c>
      <c r="D19" s="200">
        <v>375</v>
      </c>
      <c r="E19" s="201">
        <f t="shared" si="0"/>
        <v>0.8928571428571429</v>
      </c>
      <c r="F19" s="200"/>
      <c r="G19" s="202">
        <f t="shared" si="1"/>
        <v>420</v>
      </c>
      <c r="H19" s="201">
        <f t="shared" si="2"/>
        <v>0.1260053619302949</v>
      </c>
      <c r="I19" s="212"/>
    </row>
    <row r="20" spans="1:9" ht="19.5" customHeight="1">
      <c r="A20" s="199" t="s">
        <v>54</v>
      </c>
      <c r="B20" s="200"/>
      <c r="C20" s="200"/>
      <c r="D20" s="200"/>
      <c r="E20" s="201"/>
      <c r="F20" s="200"/>
      <c r="G20" s="202">
        <f t="shared" si="1"/>
        <v>0</v>
      </c>
      <c r="H20" s="201" t="e">
        <f t="shared" si="2"/>
        <v>#DIV/0!</v>
      </c>
      <c r="I20" s="212"/>
    </row>
    <row r="21" spans="1:9" ht="19.5" customHeight="1">
      <c r="A21" s="196" t="s">
        <v>137</v>
      </c>
      <c r="B21" s="203">
        <f>B22+B31+B32+B33+B34+B36</f>
        <v>46515</v>
      </c>
      <c r="C21" s="197">
        <f>C22+C31+C32+C33+C34+C36</f>
        <v>42270</v>
      </c>
      <c r="D21" s="197">
        <f>D22+D31+D32+D33+D34+D36+D35</f>
        <v>46955</v>
      </c>
      <c r="E21" s="198">
        <f t="shared" si="0"/>
        <v>1.0094593141997206</v>
      </c>
      <c r="F21" s="197">
        <f>F22+F31+F32+F33+F34+F36+F35</f>
        <v>440</v>
      </c>
      <c r="G21" s="197">
        <f>G22+G31+G32+G33+G34+G36+G35</f>
        <v>46955</v>
      </c>
      <c r="H21" s="198">
        <f t="shared" si="2"/>
        <v>0.11083510764135321</v>
      </c>
      <c r="I21" s="212"/>
    </row>
    <row r="22" spans="1:9" ht="19.5" customHeight="1">
      <c r="A22" s="199" t="s">
        <v>58</v>
      </c>
      <c r="B22" s="200">
        <v>8835</v>
      </c>
      <c r="C22" s="200">
        <v>7397</v>
      </c>
      <c r="D22" s="200">
        <v>5451</v>
      </c>
      <c r="E22" s="201">
        <f t="shared" si="0"/>
        <v>0.6169779286926995</v>
      </c>
      <c r="F22" s="200">
        <f>D22-B22</f>
        <v>-3384</v>
      </c>
      <c r="G22" s="202">
        <f>B22+F22</f>
        <v>5451</v>
      </c>
      <c r="H22" s="201">
        <f t="shared" si="2"/>
        <v>-0.2630796268757604</v>
      </c>
      <c r="I22" s="213" t="s">
        <v>138</v>
      </c>
    </row>
    <row r="23" spans="1:9" ht="19.5" customHeight="1" hidden="1">
      <c r="A23" s="199" t="s">
        <v>139</v>
      </c>
      <c r="B23" s="200">
        <v>1300</v>
      </c>
      <c r="C23" s="200">
        <v>1141</v>
      </c>
      <c r="D23" s="200"/>
      <c r="E23" s="201"/>
      <c r="F23" s="200">
        <f aca="true" t="shared" si="3" ref="F23:F35">D23-B23</f>
        <v>-1300</v>
      </c>
      <c r="G23" s="202"/>
      <c r="H23" s="204"/>
      <c r="I23" s="212"/>
    </row>
    <row r="24" spans="1:9" ht="19.5" customHeight="1" hidden="1">
      <c r="A24" s="199" t="s">
        <v>140</v>
      </c>
      <c r="B24" s="200">
        <v>800</v>
      </c>
      <c r="C24" s="200">
        <v>706</v>
      </c>
      <c r="D24" s="200"/>
      <c r="E24" s="201"/>
      <c r="F24" s="200">
        <f t="shared" si="3"/>
        <v>-800</v>
      </c>
      <c r="G24" s="202"/>
      <c r="H24" s="204"/>
      <c r="I24" s="212"/>
    </row>
    <row r="25" spans="1:9" ht="19.5" customHeight="1" hidden="1">
      <c r="A25" s="199" t="s">
        <v>141</v>
      </c>
      <c r="B25" s="200">
        <v>400</v>
      </c>
      <c r="C25" s="200">
        <v>394</v>
      </c>
      <c r="D25" s="200"/>
      <c r="E25" s="201"/>
      <c r="F25" s="200">
        <f t="shared" si="3"/>
        <v>-400</v>
      </c>
      <c r="G25" s="202"/>
      <c r="H25" s="204"/>
      <c r="I25" s="212"/>
    </row>
    <row r="26" spans="1:9" ht="19.5" customHeight="1" hidden="1">
      <c r="A26" s="199" t="s">
        <v>142</v>
      </c>
      <c r="B26" s="200">
        <v>900</v>
      </c>
      <c r="C26" s="200">
        <v>897</v>
      </c>
      <c r="D26" s="200"/>
      <c r="E26" s="201"/>
      <c r="F26" s="200">
        <f t="shared" si="3"/>
        <v>-900</v>
      </c>
      <c r="G26" s="202"/>
      <c r="H26" s="204"/>
      <c r="I26" s="212"/>
    </row>
    <row r="27" spans="1:9" ht="19.5" customHeight="1" hidden="1">
      <c r="A27" s="199" t="s">
        <v>143</v>
      </c>
      <c r="B27" s="200">
        <v>150</v>
      </c>
      <c r="C27" s="200">
        <v>148</v>
      </c>
      <c r="D27" s="200"/>
      <c r="E27" s="201"/>
      <c r="F27" s="200">
        <f t="shared" si="3"/>
        <v>-150</v>
      </c>
      <c r="G27" s="202"/>
      <c r="H27" s="204"/>
      <c r="I27" s="212"/>
    </row>
    <row r="28" spans="1:9" ht="19.5" customHeight="1" hidden="1">
      <c r="A28" s="199" t="s">
        <v>144</v>
      </c>
      <c r="B28" s="200">
        <v>100</v>
      </c>
      <c r="C28" s="200">
        <v>89</v>
      </c>
      <c r="D28" s="200"/>
      <c r="E28" s="201"/>
      <c r="F28" s="200">
        <f t="shared" si="3"/>
        <v>-100</v>
      </c>
      <c r="G28" s="202"/>
      <c r="H28" s="204"/>
      <c r="I28" s="212"/>
    </row>
    <row r="29" spans="1:9" ht="19.5" customHeight="1" hidden="1">
      <c r="A29" s="199" t="s">
        <v>145</v>
      </c>
      <c r="B29" s="200">
        <v>930</v>
      </c>
      <c r="C29" s="200">
        <v>1242</v>
      </c>
      <c r="D29" s="200"/>
      <c r="E29" s="201"/>
      <c r="F29" s="200">
        <f t="shared" si="3"/>
        <v>-930</v>
      </c>
      <c r="G29" s="202"/>
      <c r="H29" s="204"/>
      <c r="I29" s="212"/>
    </row>
    <row r="30" spans="1:9" ht="19.5" customHeight="1" hidden="1">
      <c r="A30" s="205" t="s">
        <v>146</v>
      </c>
      <c r="B30" s="200">
        <v>320</v>
      </c>
      <c r="C30" s="200">
        <v>319</v>
      </c>
      <c r="D30" s="200"/>
      <c r="E30" s="201"/>
      <c r="F30" s="200">
        <f t="shared" si="3"/>
        <v>-320</v>
      </c>
      <c r="G30" s="202"/>
      <c r="H30" s="204"/>
      <c r="I30" s="212"/>
    </row>
    <row r="31" spans="1:9" ht="19.5" customHeight="1">
      <c r="A31" s="199" t="s">
        <v>60</v>
      </c>
      <c r="B31" s="200">
        <v>17050</v>
      </c>
      <c r="C31" s="200">
        <v>16331</v>
      </c>
      <c r="D31" s="200">
        <v>14941</v>
      </c>
      <c r="E31" s="201">
        <f>D31/B31</f>
        <v>0.8763049853372434</v>
      </c>
      <c r="F31" s="200">
        <f t="shared" si="3"/>
        <v>-2109</v>
      </c>
      <c r="G31" s="202">
        <f aca="true" t="shared" si="4" ref="G31:G36">B31+F31</f>
        <v>14941</v>
      </c>
      <c r="H31" s="201">
        <f>(G31-C31)/C31</f>
        <v>-0.08511419998775335</v>
      </c>
      <c r="I31" s="212"/>
    </row>
    <row r="32" spans="1:9" ht="19.5" customHeight="1">
      <c r="A32" s="199" t="s">
        <v>62</v>
      </c>
      <c r="B32" s="200">
        <v>16900</v>
      </c>
      <c r="C32" s="200">
        <v>15121</v>
      </c>
      <c r="D32" s="200">
        <v>18905</v>
      </c>
      <c r="E32" s="201">
        <f>D32/B32</f>
        <v>1.118639053254438</v>
      </c>
      <c r="F32" s="200">
        <f t="shared" si="3"/>
        <v>2005</v>
      </c>
      <c r="G32" s="202">
        <f t="shared" si="4"/>
        <v>18905</v>
      </c>
      <c r="H32" s="201">
        <f>(G32-C32)/C32</f>
        <v>0.25024799947093446</v>
      </c>
      <c r="I32" s="212"/>
    </row>
    <row r="33" spans="1:9" ht="19.5" customHeight="1">
      <c r="A33" s="199" t="s">
        <v>64</v>
      </c>
      <c r="B33" s="200">
        <v>3500</v>
      </c>
      <c r="C33" s="200">
        <v>3227</v>
      </c>
      <c r="D33" s="200">
        <v>7363</v>
      </c>
      <c r="E33" s="201">
        <f>D33/B33</f>
        <v>2.1037142857142856</v>
      </c>
      <c r="F33" s="200">
        <f t="shared" si="3"/>
        <v>3863</v>
      </c>
      <c r="G33" s="202">
        <f t="shared" si="4"/>
        <v>7363</v>
      </c>
      <c r="H33" s="201">
        <f>(G33-C33)/C33</f>
        <v>1.2816857762627827</v>
      </c>
      <c r="I33" s="212"/>
    </row>
    <row r="34" spans="1:9" ht="19.5" customHeight="1">
      <c r="A34" s="199" t="s">
        <v>66</v>
      </c>
      <c r="B34" s="200">
        <v>230</v>
      </c>
      <c r="C34" s="200">
        <v>194</v>
      </c>
      <c r="D34" s="200">
        <v>226</v>
      </c>
      <c r="E34" s="201">
        <f>D34/B34</f>
        <v>0.9826086956521739</v>
      </c>
      <c r="F34" s="200">
        <f t="shared" si="3"/>
        <v>-4</v>
      </c>
      <c r="G34" s="202">
        <f t="shared" si="4"/>
        <v>226</v>
      </c>
      <c r="H34" s="201">
        <f>(G34-C34)/C34</f>
        <v>0.16494845360824742</v>
      </c>
      <c r="I34" s="212"/>
    </row>
    <row r="35" spans="1:9" ht="19.5" customHeight="1">
      <c r="A35" s="199" t="s">
        <v>147</v>
      </c>
      <c r="B35" s="200"/>
      <c r="C35" s="200"/>
      <c r="D35" s="200">
        <v>69</v>
      </c>
      <c r="E35" s="201" t="e">
        <f>D35/B35</f>
        <v>#DIV/0!</v>
      </c>
      <c r="F35" s="200">
        <f t="shared" si="3"/>
        <v>69</v>
      </c>
      <c r="G35" s="202">
        <f t="shared" si="4"/>
        <v>69</v>
      </c>
      <c r="H35" s="201" t="e">
        <f>(G35-C35)/C35</f>
        <v>#DIV/0!</v>
      </c>
      <c r="I35" s="212"/>
    </row>
    <row r="36" spans="1:9" ht="19.5" customHeight="1">
      <c r="A36" s="199" t="s">
        <v>68</v>
      </c>
      <c r="B36" s="200">
        <v>0</v>
      </c>
      <c r="C36" s="200"/>
      <c r="D36" s="200"/>
      <c r="E36" s="201"/>
      <c r="F36" s="200"/>
      <c r="G36" s="202">
        <f t="shared" si="4"/>
        <v>0</v>
      </c>
      <c r="H36" s="201" t="e">
        <f aca="true" t="shared" si="5" ref="H36:H41">(G36-C36)/C36</f>
        <v>#DIV/0!</v>
      </c>
      <c r="I36" s="212"/>
    </row>
    <row r="37" spans="1:9" ht="19.5" customHeight="1">
      <c r="A37" s="206" t="s">
        <v>148</v>
      </c>
      <c r="B37" s="197">
        <f aca="true" t="shared" si="6" ref="B37:G37">B5+B21</f>
        <v>161791</v>
      </c>
      <c r="C37" s="197">
        <f t="shared" si="6"/>
        <v>146777</v>
      </c>
      <c r="D37" s="197">
        <f t="shared" si="6"/>
        <v>150846</v>
      </c>
      <c r="E37" s="198">
        <f aca="true" t="shared" si="7" ref="E37:E46">D37/B37</f>
        <v>0.9323509960380986</v>
      </c>
      <c r="F37" s="197">
        <f t="shared" si="6"/>
        <v>440</v>
      </c>
      <c r="G37" s="197">
        <f t="shared" si="6"/>
        <v>162231</v>
      </c>
      <c r="H37" s="198">
        <f t="shared" si="5"/>
        <v>0.1052889757932101</v>
      </c>
      <c r="I37" s="212"/>
    </row>
    <row r="38" spans="1:9" ht="19.5" customHeight="1">
      <c r="A38" s="206" t="s">
        <v>149</v>
      </c>
      <c r="B38" s="197">
        <f>SUM(B39:B42)</f>
        <v>84484.5</v>
      </c>
      <c r="C38" s="197">
        <f>SUM(C39:C42)</f>
        <v>75807.4</v>
      </c>
      <c r="D38" s="197">
        <f>SUM(D39:D42)</f>
        <v>65252</v>
      </c>
      <c r="E38" s="198">
        <f t="shared" si="7"/>
        <v>0.7723546922808325</v>
      </c>
      <c r="F38" s="197">
        <f>SUM(F39:F41)</f>
        <v>-9738.095238095237</v>
      </c>
      <c r="G38" s="197">
        <f>SUM(G39:G42)</f>
        <v>74746.40476190476</v>
      </c>
      <c r="H38" s="198">
        <f t="shared" si="5"/>
        <v>-0.013995932298103232</v>
      </c>
      <c r="I38" s="212"/>
    </row>
    <row r="39" spans="1:9" ht="19.5" customHeight="1" hidden="1">
      <c r="A39" s="207" t="s">
        <v>150</v>
      </c>
      <c r="B39" s="203">
        <v>58702.5</v>
      </c>
      <c r="C39" s="203">
        <v>52371</v>
      </c>
      <c r="D39" s="200">
        <v>44132</v>
      </c>
      <c r="E39" s="201">
        <f t="shared" si="7"/>
        <v>0.751790809590733</v>
      </c>
      <c r="F39" s="200">
        <f>F6/0.375*0.5</f>
        <v>-8666.666666666666</v>
      </c>
      <c r="G39" s="202">
        <f>B39+F39</f>
        <v>50035.833333333336</v>
      </c>
      <c r="H39" s="201">
        <f t="shared" si="5"/>
        <v>-0.04458892644147838</v>
      </c>
      <c r="I39" s="212"/>
    </row>
    <row r="40" spans="1:9" ht="19.5" customHeight="1" hidden="1">
      <c r="A40" s="207" t="s">
        <v>151</v>
      </c>
      <c r="B40" s="203">
        <v>19068</v>
      </c>
      <c r="C40" s="203">
        <v>17181</v>
      </c>
      <c r="D40" s="200">
        <v>16132</v>
      </c>
      <c r="E40" s="201">
        <f t="shared" si="7"/>
        <v>0.8460247535137403</v>
      </c>
      <c r="F40" s="200">
        <f>(F7)/0.28*0.6</f>
        <v>-1071.4285714285713</v>
      </c>
      <c r="G40" s="202">
        <f>B40+F40</f>
        <v>17996.571428571428</v>
      </c>
      <c r="H40" s="201">
        <f t="shared" si="5"/>
        <v>0.04746938062810241</v>
      </c>
      <c r="I40" s="212"/>
    </row>
    <row r="41" spans="1:9" ht="19.5" customHeight="1" hidden="1">
      <c r="A41" s="207" t="s">
        <v>152</v>
      </c>
      <c r="B41" s="203">
        <v>3714</v>
      </c>
      <c r="C41" s="200">
        <v>3344.4</v>
      </c>
      <c r="D41" s="200">
        <v>3217</v>
      </c>
      <c r="E41" s="201">
        <f t="shared" si="7"/>
        <v>0.866182014001077</v>
      </c>
      <c r="F41" s="200">
        <f>(F8)/0.28*0.6</f>
        <v>0</v>
      </c>
      <c r="G41" s="202">
        <f>B41+F41</f>
        <v>3714</v>
      </c>
      <c r="H41" s="201">
        <f t="shared" si="5"/>
        <v>0.11051309651955504</v>
      </c>
      <c r="I41" s="212"/>
    </row>
    <row r="42" spans="1:9" ht="19.5" customHeight="1" hidden="1">
      <c r="A42" s="207" t="s">
        <v>153</v>
      </c>
      <c r="B42" s="203">
        <v>3000</v>
      </c>
      <c r="C42" s="200">
        <v>2911</v>
      </c>
      <c r="D42" s="200">
        <v>1771</v>
      </c>
      <c r="E42" s="201">
        <f t="shared" si="7"/>
        <v>0.5903333333333334</v>
      </c>
      <c r="F42" s="200"/>
      <c r="G42" s="202">
        <v>3000</v>
      </c>
      <c r="H42" s="201"/>
      <c r="I42" s="212"/>
    </row>
    <row r="43" spans="1:9" ht="19.5" customHeight="1">
      <c r="A43" s="206" t="s">
        <v>154</v>
      </c>
      <c r="B43" s="197">
        <f>SUM(B44:B49)</f>
        <v>22977.024999999998</v>
      </c>
      <c r="C43" s="197">
        <f>SUM(C44:C49)</f>
        <v>20598.33</v>
      </c>
      <c r="D43" s="197">
        <f>SUM(D44:D49)</f>
        <v>17310</v>
      </c>
      <c r="E43" s="198">
        <f t="shared" si="7"/>
        <v>0.7533612380192823</v>
      </c>
      <c r="F43" s="197">
        <f>SUM(F44:F49)</f>
        <v>-2928.6190476190473</v>
      </c>
      <c r="G43" s="197">
        <f>SUM(G44:G49)</f>
        <v>20048.405952380952</v>
      </c>
      <c r="H43" s="198">
        <f>(G43-C43)/C43</f>
        <v>-0.02669750642984406</v>
      </c>
      <c r="I43" s="212"/>
    </row>
    <row r="44" spans="1:9" ht="19.5" customHeight="1" hidden="1">
      <c r="A44" s="207" t="s">
        <v>155</v>
      </c>
      <c r="B44" s="203">
        <v>14663.125</v>
      </c>
      <c r="C44" s="208">
        <v>13081.75</v>
      </c>
      <c r="D44" s="200">
        <v>10959</v>
      </c>
      <c r="E44" s="201">
        <f t="shared" si="7"/>
        <v>0.7473850219513235</v>
      </c>
      <c r="F44" s="200">
        <f>F6/0.375*0.125</f>
        <v>-2166.6666666666665</v>
      </c>
      <c r="G44" s="202">
        <f aca="true" t="shared" si="8" ref="G44:G49">B44+F44</f>
        <v>12496.458333333334</v>
      </c>
      <c r="H44" s="201">
        <f>(G44-C44)/C44</f>
        <v>-0.04474108331581524</v>
      </c>
      <c r="I44" s="212"/>
    </row>
    <row r="45" spans="1:9" ht="19.5" customHeight="1" hidden="1">
      <c r="A45" s="207" t="s">
        <v>156</v>
      </c>
      <c r="B45" s="203">
        <v>3813.6</v>
      </c>
      <c r="C45" s="203">
        <v>3436.2</v>
      </c>
      <c r="D45" s="200">
        <v>3226</v>
      </c>
      <c r="E45" s="201">
        <f t="shared" si="7"/>
        <v>0.8459198657436543</v>
      </c>
      <c r="F45" s="200">
        <f>(F7)/0.28*0.12</f>
        <v>-214.28571428571425</v>
      </c>
      <c r="G45" s="202">
        <f t="shared" si="8"/>
        <v>3599.3142857142857</v>
      </c>
      <c r="H45" s="201">
        <f>(G45-C45)/C45</f>
        <v>0.04746938062810252</v>
      </c>
      <c r="I45" s="212"/>
    </row>
    <row r="46" spans="1:9" ht="19.5" customHeight="1" hidden="1">
      <c r="A46" s="207" t="s">
        <v>157</v>
      </c>
      <c r="B46" s="203">
        <v>742.8</v>
      </c>
      <c r="C46" s="203">
        <v>668.88</v>
      </c>
      <c r="D46" s="200">
        <v>643</v>
      </c>
      <c r="E46" s="201">
        <f t="shared" si="7"/>
        <v>0.8656435110393108</v>
      </c>
      <c r="F46" s="200">
        <f>(F8)/0.28*0.12</f>
        <v>0</v>
      </c>
      <c r="G46" s="202">
        <f t="shared" si="8"/>
        <v>742.8</v>
      </c>
      <c r="H46" s="201">
        <f>(G46-C46)/C46</f>
        <v>0.11051309651955502</v>
      </c>
      <c r="I46" s="212"/>
    </row>
    <row r="47" spans="1:9" ht="19.5" customHeight="1" hidden="1">
      <c r="A47" s="207" t="s">
        <v>158</v>
      </c>
      <c r="B47" s="203">
        <v>862.5</v>
      </c>
      <c r="C47" s="203">
        <v>777.5</v>
      </c>
      <c r="D47" s="200">
        <v>665</v>
      </c>
      <c r="E47" s="201">
        <f aca="true" t="shared" si="9" ref="E47:E52">D47/B47</f>
        <v>0.7710144927536232</v>
      </c>
      <c r="F47" s="200">
        <f>F9/0.75*0.25</f>
        <v>-64.66666666666667</v>
      </c>
      <c r="G47" s="202">
        <f t="shared" si="8"/>
        <v>797.8333333333334</v>
      </c>
      <c r="H47" s="201">
        <f aca="true" t="shared" si="10" ref="H47:H52">(G47-C47)/C47</f>
        <v>0.02615219721329051</v>
      </c>
      <c r="I47" s="212"/>
    </row>
    <row r="48" spans="1:9" ht="19.5" customHeight="1" hidden="1">
      <c r="A48" s="207" t="s">
        <v>159</v>
      </c>
      <c r="B48" s="203">
        <v>2715</v>
      </c>
      <c r="C48" s="203">
        <v>2474.1</v>
      </c>
      <c r="D48" s="200">
        <v>1656</v>
      </c>
      <c r="E48" s="201">
        <f t="shared" si="9"/>
        <v>0.6099447513812155</v>
      </c>
      <c r="F48" s="200">
        <f>F13*0.7*0.3</f>
        <v>-483</v>
      </c>
      <c r="G48" s="202">
        <f t="shared" si="8"/>
        <v>2232</v>
      </c>
      <c r="H48" s="201">
        <f t="shared" si="10"/>
        <v>-0.09785376500545649</v>
      </c>
      <c r="I48" s="212"/>
    </row>
    <row r="49" spans="1:9" ht="19.5" customHeight="1" hidden="1">
      <c r="A49" s="207" t="s">
        <v>160</v>
      </c>
      <c r="B49" s="203">
        <v>180</v>
      </c>
      <c r="C49" s="203">
        <v>159.9</v>
      </c>
      <c r="D49" s="200">
        <v>161</v>
      </c>
      <c r="E49" s="201">
        <f t="shared" si="9"/>
        <v>0.8944444444444445</v>
      </c>
      <c r="F49" s="200">
        <f>F19/0.7*0.3</f>
        <v>0</v>
      </c>
      <c r="G49" s="202">
        <f t="shared" si="8"/>
        <v>180</v>
      </c>
      <c r="H49" s="201">
        <f t="shared" si="10"/>
        <v>0.12570356472795494</v>
      </c>
      <c r="I49" s="212"/>
    </row>
    <row r="50" spans="1:9" ht="19.5" customHeight="1">
      <c r="A50" s="206" t="s">
        <v>161</v>
      </c>
      <c r="B50" s="197">
        <f>B37+B38+B43</f>
        <v>269252.525</v>
      </c>
      <c r="C50" s="197">
        <f>C37+C38+C43</f>
        <v>243182.72999999998</v>
      </c>
      <c r="D50" s="197">
        <f>D37+D38+D43</f>
        <v>233408</v>
      </c>
      <c r="E50" s="198">
        <f t="shared" si="9"/>
        <v>0.8668739503928514</v>
      </c>
      <c r="F50" s="197">
        <f>F37+F38+F43</f>
        <v>-12226.714285714284</v>
      </c>
      <c r="G50" s="197">
        <f>G51+G52</f>
        <v>257025.8107142857</v>
      </c>
      <c r="H50" s="198">
        <f t="shared" si="10"/>
        <v>0.05692460444985433</v>
      </c>
      <c r="I50" s="212"/>
    </row>
    <row r="51" spans="1:9" ht="19.5" customHeight="1">
      <c r="A51" s="206" t="s">
        <v>162</v>
      </c>
      <c r="B51" s="197">
        <f>B5+B38+B43</f>
        <v>222737.525</v>
      </c>
      <c r="C51" s="197">
        <v>200913</v>
      </c>
      <c r="D51" s="197">
        <f>D5+D38+D43</f>
        <v>186453</v>
      </c>
      <c r="E51" s="201">
        <f t="shared" si="9"/>
        <v>0.8370973862621487</v>
      </c>
      <c r="F51" s="200">
        <f>F43+F38+F5</f>
        <v>-12666.714285714284</v>
      </c>
      <c r="G51" s="202">
        <f>G5+G38+G43</f>
        <v>210070.8107142857</v>
      </c>
      <c r="H51" s="201">
        <f t="shared" si="10"/>
        <v>0.04558097641409816</v>
      </c>
      <c r="I51" s="212"/>
    </row>
    <row r="52" spans="1:9" ht="19.5" customHeight="1">
      <c r="A52" s="206" t="s">
        <v>163</v>
      </c>
      <c r="B52" s="197">
        <f>B21</f>
        <v>46515</v>
      </c>
      <c r="C52" s="197">
        <f>C21</f>
        <v>42270</v>
      </c>
      <c r="D52" s="197">
        <f>D21</f>
        <v>46955</v>
      </c>
      <c r="E52" s="201">
        <f t="shared" si="9"/>
        <v>1.0094593141997206</v>
      </c>
      <c r="F52" s="200">
        <f>F21</f>
        <v>440</v>
      </c>
      <c r="G52" s="202">
        <f>G21</f>
        <v>46955</v>
      </c>
      <c r="H52" s="201">
        <f t="shared" si="10"/>
        <v>0.11083510764135321</v>
      </c>
      <c r="I52" s="212"/>
    </row>
    <row r="53" spans="1:9" ht="19.5" customHeight="1">
      <c r="A53" s="206" t="s">
        <v>164</v>
      </c>
      <c r="B53" s="198">
        <f>(B5+B38+B43)/B50</f>
        <v>0.8272439599220099</v>
      </c>
      <c r="C53" s="198">
        <f>(C5+C38+C43)/C50</f>
        <v>0.8261800909957709</v>
      </c>
      <c r="D53" s="198">
        <f>(D5+D38+D43)/D50</f>
        <v>0.798828660542912</v>
      </c>
      <c r="E53" s="198"/>
      <c r="F53" s="198"/>
      <c r="G53" s="198">
        <f>(G5+G38+G43)/G50</f>
        <v>0.8173140671378099</v>
      </c>
      <c r="H53" s="209"/>
      <c r="I53" s="212"/>
    </row>
    <row r="54" spans="1:9" ht="19.5" customHeight="1">
      <c r="A54" s="206" t="s">
        <v>165</v>
      </c>
      <c r="B54" s="198">
        <f>B5/B37</f>
        <v>0.7124994591788171</v>
      </c>
      <c r="C54" s="198">
        <f>C5/C37</f>
        <v>0.7120120999884179</v>
      </c>
      <c r="D54" s="198">
        <f>D5/D37</f>
        <v>0.6887222730466833</v>
      </c>
      <c r="E54" s="198"/>
      <c r="F54" s="198"/>
      <c r="G54" s="198">
        <f>G5/G37</f>
        <v>0.7105670309620233</v>
      </c>
      <c r="H54" s="209"/>
      <c r="I54" s="212"/>
    </row>
    <row r="55" ht="15" customHeight="1"/>
    <row r="56" ht="15" customHeight="1"/>
    <row r="57" ht="15" customHeight="1"/>
    <row r="58" ht="15" customHeight="1"/>
  </sheetData>
  <sheetProtection/>
  <mergeCells count="4">
    <mergeCell ref="A1:I1"/>
    <mergeCell ref="G2:H2"/>
    <mergeCell ref="B3:H3"/>
    <mergeCell ref="A3:A4"/>
  </mergeCells>
  <printOptions horizontalCentered="1"/>
  <pageMargins left="0.3576388888888889" right="0.3576388888888889" top="0.40902777777777777" bottom="0.40902777777777777" header="0.5118055555555555" footer="0.5118055555555555"/>
  <pageSetup horizontalDpi="600" verticalDpi="600" orientation="portrait" paperSize="9" scale="85"/>
  <headerFooter scaleWithDoc="0" alignWithMargins="0">
    <oddFooter>&amp;L&amp;"宋体"&amp;9&amp;C&amp;"宋体"&amp;9 4&amp;R&amp;"宋体"&amp;9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T42"/>
  <sheetViews>
    <sheetView showZeros="0" workbookViewId="0" topLeftCell="A1">
      <pane xSplit="8" ySplit="3" topLeftCell="I32" activePane="bottomRight" state="frozen"/>
      <selection pane="bottomRight" activeCell="L14" sqref="L14"/>
    </sheetView>
  </sheetViews>
  <sheetFormatPr defaultColWidth="17.33203125" defaultRowHeight="11.25"/>
  <cols>
    <col min="1" max="1" width="6.16015625" style="103" hidden="1" customWidth="1"/>
    <col min="2" max="2" width="11.66015625" style="103" hidden="1" customWidth="1"/>
    <col min="3" max="3" width="32.5" style="103" hidden="1" customWidth="1"/>
    <col min="4" max="4" width="13.16015625" style="103" hidden="1" customWidth="1"/>
    <col min="5" max="5" width="17.16015625" style="103" hidden="1" customWidth="1"/>
    <col min="6" max="6" width="19.16015625" style="103" hidden="1" customWidth="1"/>
    <col min="7" max="7" width="9.16015625" style="103" hidden="1" customWidth="1"/>
    <col min="8" max="8" width="61.33203125" style="103" customWidth="1"/>
    <col min="9" max="9" width="30.16015625" style="144" customWidth="1"/>
    <col min="10" max="10" width="19.16015625" style="145" customWidth="1"/>
    <col min="11" max="254" width="17.16015625" style="103" customWidth="1"/>
  </cols>
  <sheetData>
    <row r="1" spans="1:10" ht="36.75" customHeight="1">
      <c r="A1" s="146" t="s">
        <v>166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2:11" ht="27" customHeight="1">
      <c r="B2" s="147"/>
      <c r="C2" s="148"/>
      <c r="D2" s="147"/>
      <c r="E2" s="147"/>
      <c r="F2" s="147"/>
      <c r="G2" s="147"/>
      <c r="H2" s="147"/>
      <c r="J2" s="163" t="s">
        <v>1</v>
      </c>
      <c r="K2" s="164"/>
    </row>
    <row r="3" spans="1:11" s="139" customFormat="1" ht="30.75">
      <c r="A3" s="149" t="s">
        <v>167</v>
      </c>
      <c r="B3" s="150" t="s">
        <v>168</v>
      </c>
      <c r="C3" s="150" t="s">
        <v>169</v>
      </c>
      <c r="D3" s="150" t="s">
        <v>170</v>
      </c>
      <c r="E3" s="150" t="s">
        <v>171</v>
      </c>
      <c r="F3" s="150" t="s">
        <v>172</v>
      </c>
      <c r="G3" s="150" t="s">
        <v>173</v>
      </c>
      <c r="H3" s="151" t="s">
        <v>174</v>
      </c>
      <c r="I3" s="165" t="s">
        <v>9</v>
      </c>
      <c r="J3" s="166" t="s">
        <v>128</v>
      </c>
      <c r="K3" s="167"/>
    </row>
    <row r="4" spans="1:11" s="140" customFormat="1" ht="19.5" customHeight="1">
      <c r="A4" s="152"/>
      <c r="B4" s="153"/>
      <c r="C4" s="153"/>
      <c r="D4" s="153"/>
      <c r="E4" s="154"/>
      <c r="F4" s="153"/>
      <c r="G4" s="153"/>
      <c r="H4" s="155" t="s">
        <v>175</v>
      </c>
      <c r="I4" s="168">
        <f>I6+I37+I38+I39+I42-I41+I56-I40+I5</f>
        <v>-37879.259999999995</v>
      </c>
      <c r="J4" s="169"/>
      <c r="K4" s="170"/>
    </row>
    <row r="5" spans="1:11" s="140" customFormat="1" ht="21" customHeight="1">
      <c r="A5" s="152"/>
      <c r="B5" s="153"/>
      <c r="C5" s="153"/>
      <c r="D5" s="153"/>
      <c r="E5" s="154"/>
      <c r="F5" s="153"/>
      <c r="G5" s="153"/>
      <c r="H5" s="155" t="s">
        <v>176</v>
      </c>
      <c r="I5" s="171">
        <v>69</v>
      </c>
      <c r="J5" s="172"/>
      <c r="K5" s="170"/>
    </row>
    <row r="6" spans="1:11" s="141" customFormat="1" ht="21" customHeight="1">
      <c r="A6" s="156"/>
      <c r="B6" s="155"/>
      <c r="C6" s="155"/>
      <c r="D6" s="155"/>
      <c r="E6" s="157"/>
      <c r="F6" s="155"/>
      <c r="G6" s="155"/>
      <c r="H6" s="155" t="s">
        <v>177</v>
      </c>
      <c r="I6" s="173">
        <f>SUM(I7:I36)</f>
        <v>-18080.259999999995</v>
      </c>
      <c r="J6" s="174"/>
      <c r="K6" s="175"/>
    </row>
    <row r="7" spans="1:11" s="141" customFormat="1" ht="21" customHeight="1">
      <c r="A7" s="156"/>
      <c r="B7" s="155"/>
      <c r="C7" s="155"/>
      <c r="D7" s="155"/>
      <c r="E7" s="157"/>
      <c r="F7" s="155"/>
      <c r="G7" s="155"/>
      <c r="H7" s="158" t="s">
        <v>86</v>
      </c>
      <c r="I7" s="176">
        <v>9958</v>
      </c>
      <c r="J7" s="174"/>
      <c r="K7" s="175"/>
    </row>
    <row r="8" spans="1:11" s="141" customFormat="1" ht="21" customHeight="1">
      <c r="A8" s="156"/>
      <c r="B8" s="155"/>
      <c r="C8" s="155"/>
      <c r="D8" s="155"/>
      <c r="E8" s="157"/>
      <c r="F8" s="155"/>
      <c r="G8" s="155"/>
      <c r="H8" s="158" t="s">
        <v>87</v>
      </c>
      <c r="I8" s="176">
        <v>-1400</v>
      </c>
      <c r="J8" s="174"/>
      <c r="K8" s="175"/>
    </row>
    <row r="9" spans="1:11" s="141" customFormat="1" ht="21" customHeight="1">
      <c r="A9" s="156"/>
      <c r="B9" s="155"/>
      <c r="C9" s="155"/>
      <c r="D9" s="155"/>
      <c r="E9" s="157"/>
      <c r="F9" s="155"/>
      <c r="G9" s="155"/>
      <c r="H9" s="158" t="s">
        <v>88</v>
      </c>
      <c r="I9" s="176">
        <v>6726</v>
      </c>
      <c r="J9" s="174"/>
      <c r="K9" s="175"/>
    </row>
    <row r="10" spans="1:12" s="141" customFormat="1" ht="21" customHeight="1">
      <c r="A10" s="156"/>
      <c r="B10" s="155"/>
      <c r="C10" s="155"/>
      <c r="D10" s="155"/>
      <c r="E10" s="157"/>
      <c r="F10" s="155"/>
      <c r="G10" s="155"/>
      <c r="H10" s="158" t="s">
        <v>89</v>
      </c>
      <c r="I10" s="176">
        <v>956</v>
      </c>
      <c r="J10" s="174"/>
      <c r="K10" s="175"/>
      <c r="L10" s="177"/>
    </row>
    <row r="11" spans="1:11" s="141" customFormat="1" ht="21" customHeight="1">
      <c r="A11" s="156"/>
      <c r="B11" s="155"/>
      <c r="C11" s="155"/>
      <c r="D11" s="155"/>
      <c r="E11" s="157"/>
      <c r="F11" s="155"/>
      <c r="G11" s="155"/>
      <c r="H11" s="158" t="s">
        <v>91</v>
      </c>
      <c r="I11" s="176"/>
      <c r="J11" s="174"/>
      <c r="K11" s="175"/>
    </row>
    <row r="12" spans="1:11" s="141" customFormat="1" ht="21" customHeight="1">
      <c r="A12" s="156"/>
      <c r="B12" s="155"/>
      <c r="C12" s="155"/>
      <c r="D12" s="155"/>
      <c r="E12" s="157"/>
      <c r="F12" s="155"/>
      <c r="G12" s="155"/>
      <c r="H12" s="158" t="s">
        <v>92</v>
      </c>
      <c r="I12" s="176">
        <v>0</v>
      </c>
      <c r="J12" s="174"/>
      <c r="K12" s="175"/>
    </row>
    <row r="13" spans="1:12" s="141" customFormat="1" ht="21" customHeight="1">
      <c r="A13" s="156"/>
      <c r="B13" s="155"/>
      <c r="C13" s="155"/>
      <c r="D13" s="155"/>
      <c r="E13" s="157"/>
      <c r="F13" s="155"/>
      <c r="G13" s="155"/>
      <c r="H13" s="158" t="s">
        <v>93</v>
      </c>
      <c r="I13" s="176"/>
      <c r="J13" s="174"/>
      <c r="K13" s="175"/>
      <c r="L13" s="177"/>
    </row>
    <row r="14" spans="1:11" s="141" customFormat="1" ht="21" customHeight="1">
      <c r="A14" s="156"/>
      <c r="B14" s="155"/>
      <c r="C14" s="155"/>
      <c r="D14" s="155"/>
      <c r="E14" s="157"/>
      <c r="F14" s="155"/>
      <c r="G14" s="155"/>
      <c r="H14" s="158" t="s">
        <v>94</v>
      </c>
      <c r="I14" s="176"/>
      <c r="J14" s="174"/>
      <c r="K14" s="175"/>
    </row>
    <row r="15" spans="1:11" s="141" customFormat="1" ht="21" customHeight="1">
      <c r="A15" s="156"/>
      <c r="B15" s="155"/>
      <c r="C15" s="155"/>
      <c r="D15" s="155"/>
      <c r="E15" s="157"/>
      <c r="F15" s="155"/>
      <c r="G15" s="155"/>
      <c r="H15" s="158" t="s">
        <v>95</v>
      </c>
      <c r="I15" s="176">
        <v>747.6499999999996</v>
      </c>
      <c r="J15" s="174"/>
      <c r="K15" s="175"/>
    </row>
    <row r="16" spans="1:11" s="141" customFormat="1" ht="21" customHeight="1">
      <c r="A16" s="156"/>
      <c r="B16" s="155"/>
      <c r="C16" s="155"/>
      <c r="D16" s="155"/>
      <c r="E16" s="157"/>
      <c r="F16" s="155"/>
      <c r="G16" s="155"/>
      <c r="H16" s="158" t="s">
        <v>97</v>
      </c>
      <c r="I16" s="176">
        <v>598</v>
      </c>
      <c r="J16" s="174"/>
      <c r="K16" s="175"/>
    </row>
    <row r="17" spans="1:11" s="141" customFormat="1" ht="21" customHeight="1">
      <c r="A17" s="156"/>
      <c r="B17" s="155"/>
      <c r="C17" s="155"/>
      <c r="D17" s="155"/>
      <c r="E17" s="157"/>
      <c r="F17" s="155"/>
      <c r="G17" s="155"/>
      <c r="H17" s="158" t="s">
        <v>98</v>
      </c>
      <c r="I17" s="176">
        <v>-70</v>
      </c>
      <c r="J17" s="174"/>
      <c r="K17" s="175"/>
    </row>
    <row r="18" spans="1:11" s="141" customFormat="1" ht="21" customHeight="1">
      <c r="A18" s="156"/>
      <c r="B18" s="155"/>
      <c r="C18" s="155"/>
      <c r="D18" s="155"/>
      <c r="E18" s="157"/>
      <c r="F18" s="155"/>
      <c r="G18" s="155"/>
      <c r="H18" s="158" t="s">
        <v>99</v>
      </c>
      <c r="I18" s="176">
        <v>320</v>
      </c>
      <c r="J18" s="174"/>
      <c r="K18" s="175"/>
    </row>
    <row r="19" spans="1:11" s="141" customFormat="1" ht="21" customHeight="1">
      <c r="A19" s="156"/>
      <c r="B19" s="155"/>
      <c r="C19" s="155"/>
      <c r="D19" s="155"/>
      <c r="E19" s="157"/>
      <c r="F19" s="155"/>
      <c r="G19" s="155"/>
      <c r="H19" s="158" t="s">
        <v>100</v>
      </c>
      <c r="I19" s="176">
        <v>-2128</v>
      </c>
      <c r="J19" s="174"/>
      <c r="K19" s="175"/>
    </row>
    <row r="20" spans="1:11" s="141" customFormat="1" ht="21" customHeight="1">
      <c r="A20" s="156"/>
      <c r="B20" s="155"/>
      <c r="C20" s="155"/>
      <c r="D20" s="155"/>
      <c r="E20" s="157"/>
      <c r="F20" s="155"/>
      <c r="G20" s="155"/>
      <c r="H20" s="158" t="s">
        <v>101</v>
      </c>
      <c r="I20" s="176">
        <v>803</v>
      </c>
      <c r="J20" s="174"/>
      <c r="K20" s="175"/>
    </row>
    <row r="21" spans="1:11" s="141" customFormat="1" ht="21" customHeight="1">
      <c r="A21" s="156"/>
      <c r="B21" s="155"/>
      <c r="C21" s="155"/>
      <c r="D21" s="155"/>
      <c r="E21" s="157"/>
      <c r="F21" s="155"/>
      <c r="G21" s="155"/>
      <c r="H21" s="158" t="s">
        <v>102</v>
      </c>
      <c r="I21" s="176">
        <v>-195.8499999999999</v>
      </c>
      <c r="J21" s="174"/>
      <c r="K21" s="175"/>
    </row>
    <row r="22" spans="1:11" s="141" customFormat="1" ht="21" customHeight="1">
      <c r="A22" s="156"/>
      <c r="B22" s="155"/>
      <c r="C22" s="155"/>
      <c r="D22" s="155"/>
      <c r="E22" s="157"/>
      <c r="F22" s="155"/>
      <c r="G22" s="155"/>
      <c r="H22" s="158" t="s">
        <v>103</v>
      </c>
      <c r="I22" s="176">
        <v>1296</v>
      </c>
      <c r="J22" s="174"/>
      <c r="K22" s="175"/>
    </row>
    <row r="23" spans="1:11" s="141" customFormat="1" ht="21" customHeight="1">
      <c r="A23" s="156"/>
      <c r="B23" s="155"/>
      <c r="C23" s="155"/>
      <c r="D23" s="155"/>
      <c r="E23" s="157"/>
      <c r="F23" s="155"/>
      <c r="G23" s="155"/>
      <c r="H23" s="158" t="s">
        <v>104</v>
      </c>
      <c r="I23" s="176">
        <v>50</v>
      </c>
      <c r="J23" s="174"/>
      <c r="K23" s="175"/>
    </row>
    <row r="24" spans="1:11" s="141" customFormat="1" ht="21" customHeight="1">
      <c r="A24" s="156"/>
      <c r="B24" s="155"/>
      <c r="C24" s="155"/>
      <c r="D24" s="155"/>
      <c r="E24" s="157"/>
      <c r="F24" s="155"/>
      <c r="G24" s="155"/>
      <c r="H24" s="158" t="s">
        <v>105</v>
      </c>
      <c r="I24" s="176">
        <v>-553</v>
      </c>
      <c r="J24" s="174"/>
      <c r="K24" s="175"/>
    </row>
    <row r="25" spans="1:11" s="141" customFormat="1" ht="21" customHeight="1">
      <c r="A25" s="156"/>
      <c r="B25" s="155"/>
      <c r="C25" s="155"/>
      <c r="D25" s="155"/>
      <c r="E25" s="157"/>
      <c r="F25" s="155"/>
      <c r="G25" s="155"/>
      <c r="H25" s="158" t="s">
        <v>106</v>
      </c>
      <c r="I25" s="176">
        <v>1550</v>
      </c>
      <c r="J25" s="174"/>
      <c r="K25" s="175"/>
    </row>
    <row r="26" spans="1:11" s="141" customFormat="1" ht="21" customHeight="1">
      <c r="A26" s="156"/>
      <c r="B26" s="155"/>
      <c r="C26" s="155"/>
      <c r="D26" s="155"/>
      <c r="E26" s="157"/>
      <c r="F26" s="155"/>
      <c r="G26" s="155"/>
      <c r="H26" s="158" t="s">
        <v>107</v>
      </c>
      <c r="I26" s="176">
        <v>-34495</v>
      </c>
      <c r="J26" s="174"/>
      <c r="K26" s="175"/>
    </row>
    <row r="27" spans="1:11" s="141" customFormat="1" ht="21" customHeight="1">
      <c r="A27" s="156"/>
      <c r="B27" s="155"/>
      <c r="C27" s="155"/>
      <c r="D27" s="155"/>
      <c r="E27" s="157"/>
      <c r="F27" s="155"/>
      <c r="G27" s="155"/>
      <c r="H27" s="158" t="s">
        <v>108</v>
      </c>
      <c r="I27" s="176">
        <v>11.939999999999998</v>
      </c>
      <c r="J27" s="174"/>
      <c r="K27" s="175"/>
    </row>
    <row r="28" spans="1:11" s="141" customFormat="1" ht="21" customHeight="1">
      <c r="A28" s="156"/>
      <c r="B28" s="155"/>
      <c r="C28" s="155"/>
      <c r="D28" s="155"/>
      <c r="E28" s="157"/>
      <c r="F28" s="155"/>
      <c r="G28" s="155"/>
      <c r="H28" s="158" t="s">
        <v>109</v>
      </c>
      <c r="I28" s="176">
        <v>-16792</v>
      </c>
      <c r="J28" s="174"/>
      <c r="K28" s="175"/>
    </row>
    <row r="29" spans="1:11" s="141" customFormat="1" ht="21" customHeight="1">
      <c r="A29" s="156"/>
      <c r="B29" s="155"/>
      <c r="C29" s="155"/>
      <c r="D29" s="155"/>
      <c r="E29" s="157"/>
      <c r="F29" s="155"/>
      <c r="G29" s="155"/>
      <c r="H29" s="158" t="s">
        <v>110</v>
      </c>
      <c r="I29" s="176">
        <v>579</v>
      </c>
      <c r="J29" s="174"/>
      <c r="K29" s="175"/>
    </row>
    <row r="30" spans="1:11" s="141" customFormat="1" ht="21" customHeight="1">
      <c r="A30" s="156"/>
      <c r="B30" s="155"/>
      <c r="C30" s="155"/>
      <c r="D30" s="155"/>
      <c r="E30" s="157"/>
      <c r="F30" s="155"/>
      <c r="G30" s="155"/>
      <c r="H30" s="158" t="s">
        <v>111</v>
      </c>
      <c r="I30" s="176">
        <v>1084</v>
      </c>
      <c r="J30" s="174"/>
      <c r="K30" s="175"/>
    </row>
    <row r="31" spans="1:11" s="141" customFormat="1" ht="21" customHeight="1">
      <c r="A31" s="156"/>
      <c r="B31" s="155"/>
      <c r="C31" s="155"/>
      <c r="D31" s="155"/>
      <c r="E31" s="157"/>
      <c r="F31" s="155"/>
      <c r="G31" s="155"/>
      <c r="H31" s="158" t="s">
        <v>112</v>
      </c>
      <c r="I31" s="176">
        <v>108</v>
      </c>
      <c r="J31" s="174"/>
      <c r="K31" s="175"/>
    </row>
    <row r="32" spans="1:11" s="141" customFormat="1" ht="21" customHeight="1">
      <c r="A32" s="156"/>
      <c r="B32" s="155"/>
      <c r="C32" s="155"/>
      <c r="D32" s="155"/>
      <c r="E32" s="157"/>
      <c r="F32" s="155"/>
      <c r="G32" s="155"/>
      <c r="H32" s="158" t="s">
        <v>113</v>
      </c>
      <c r="I32" s="176">
        <v>1031</v>
      </c>
      <c r="J32" s="174"/>
      <c r="K32" s="175"/>
    </row>
    <row r="33" spans="1:11" s="141" customFormat="1" ht="21" customHeight="1">
      <c r="A33" s="156"/>
      <c r="B33" s="155"/>
      <c r="C33" s="155"/>
      <c r="D33" s="155"/>
      <c r="E33" s="157"/>
      <c r="F33" s="155"/>
      <c r="G33" s="155"/>
      <c r="H33" s="158" t="s">
        <v>114</v>
      </c>
      <c r="I33" s="176">
        <v>9048</v>
      </c>
      <c r="J33" s="174"/>
      <c r="K33" s="175"/>
    </row>
    <row r="34" spans="1:11" s="142" customFormat="1" ht="21" customHeight="1">
      <c r="A34" s="159"/>
      <c r="B34" s="160"/>
      <c r="C34" s="160"/>
      <c r="D34" s="160"/>
      <c r="E34" s="161"/>
      <c r="F34" s="160"/>
      <c r="G34" s="160"/>
      <c r="H34" s="158" t="s">
        <v>115</v>
      </c>
      <c r="I34" s="176">
        <v>700</v>
      </c>
      <c r="J34" s="178"/>
      <c r="K34" s="179"/>
    </row>
    <row r="35" spans="1:11" s="142" customFormat="1" ht="21" customHeight="1">
      <c r="A35" s="159"/>
      <c r="B35" s="160"/>
      <c r="C35" s="160"/>
      <c r="D35" s="160"/>
      <c r="E35" s="161"/>
      <c r="F35" s="160"/>
      <c r="G35" s="160"/>
      <c r="H35" s="158" t="s">
        <v>116</v>
      </c>
      <c r="I35" s="176">
        <v>-1140</v>
      </c>
      <c r="J35" s="178"/>
      <c r="K35" s="179"/>
    </row>
    <row r="36" spans="1:254" s="143" customFormat="1" ht="21" customHeight="1">
      <c r="A36" s="162"/>
      <c r="B36" s="160"/>
      <c r="C36" s="160"/>
      <c r="D36" s="160"/>
      <c r="E36" s="161"/>
      <c r="F36" s="160"/>
      <c r="G36" s="160"/>
      <c r="H36" s="158" t="s">
        <v>117</v>
      </c>
      <c r="I36" s="176">
        <v>3127</v>
      </c>
      <c r="J36" s="180"/>
      <c r="K36" s="181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  <c r="IT36" s="182"/>
    </row>
    <row r="37" spans="1:11" s="141" customFormat="1" ht="21" customHeight="1">
      <c r="A37" s="156"/>
      <c r="B37" s="155"/>
      <c r="C37" s="155"/>
      <c r="D37" s="155"/>
      <c r="E37" s="157"/>
      <c r="F37" s="155"/>
      <c r="G37" s="155"/>
      <c r="H37" s="155" t="s">
        <v>178</v>
      </c>
      <c r="I37" s="173">
        <f>'收支总表'!C67</f>
        <v>-11081</v>
      </c>
      <c r="J37" s="178"/>
      <c r="K37" s="175"/>
    </row>
    <row r="38" spans="1:11" s="141" customFormat="1" ht="21" customHeight="1">
      <c r="A38" s="156"/>
      <c r="B38" s="155"/>
      <c r="C38" s="155"/>
      <c r="D38" s="155"/>
      <c r="E38" s="157"/>
      <c r="F38" s="155"/>
      <c r="G38" s="155"/>
      <c r="H38" s="155" t="s">
        <v>179</v>
      </c>
      <c r="I38" s="173">
        <f>'新增债券资金安排预算表'!F5</f>
        <v>9500</v>
      </c>
      <c r="J38" s="174"/>
      <c r="K38" s="175"/>
    </row>
    <row r="39" spans="1:10" s="141" customFormat="1" ht="21" customHeight="1">
      <c r="A39" s="156"/>
      <c r="B39" s="155"/>
      <c r="C39" s="155"/>
      <c r="D39" s="155"/>
      <c r="E39" s="157"/>
      <c r="F39" s="155"/>
      <c r="G39" s="155"/>
      <c r="H39" s="155" t="s">
        <v>180</v>
      </c>
      <c r="I39" s="173">
        <v>440</v>
      </c>
      <c r="J39" s="174"/>
    </row>
    <row r="40" spans="1:10" s="141" customFormat="1" ht="21" customHeight="1">
      <c r="A40" s="156"/>
      <c r="B40" s="155"/>
      <c r="C40" s="155"/>
      <c r="D40" s="155"/>
      <c r="E40" s="157"/>
      <c r="F40" s="155"/>
      <c r="G40" s="155"/>
      <c r="H40" s="155" t="s">
        <v>181</v>
      </c>
      <c r="I40" s="173">
        <v>6198</v>
      </c>
      <c r="J40" s="174"/>
    </row>
    <row r="41" spans="1:10" s="141" customFormat="1" ht="21" customHeight="1">
      <c r="A41" s="156"/>
      <c r="B41" s="155"/>
      <c r="C41" s="155"/>
      <c r="D41" s="155"/>
      <c r="E41" s="157"/>
      <c r="F41" s="155"/>
      <c r="G41" s="155"/>
      <c r="H41" s="155" t="s">
        <v>182</v>
      </c>
      <c r="I41" s="173"/>
      <c r="J41" s="178"/>
    </row>
    <row r="42" spans="1:10" s="141" customFormat="1" ht="21" customHeight="1">
      <c r="A42" s="156"/>
      <c r="B42" s="155"/>
      <c r="C42" s="155"/>
      <c r="D42" s="155"/>
      <c r="E42" s="157"/>
      <c r="F42" s="155"/>
      <c r="G42" s="155"/>
      <c r="H42" s="155" t="s">
        <v>183</v>
      </c>
      <c r="I42" s="173">
        <v>-12529</v>
      </c>
      <c r="J42" s="174"/>
    </row>
  </sheetData>
  <sheetProtection/>
  <mergeCells count="1">
    <mergeCell ref="A1:J1"/>
  </mergeCells>
  <printOptions horizontalCentered="1"/>
  <pageMargins left="0.35" right="0.35" top="0.38958333333333334" bottom="0.38958333333333334" header="0.5118055555555555" footer="0.3104166666666667"/>
  <pageSetup firstPageNumber="5" useFirstPageNumber="1" horizontalDpi="600" verticalDpi="600" orientation="portrait" paperSize="9" scale="85"/>
  <headerFooter scaleWithDoc="0" alignWithMargins="0">
    <oddFooter>&amp;L&amp;"宋体"&amp;9&amp;C&amp;"宋体"&amp;9 5&amp;R&amp;"宋体"&amp;9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4"/>
  <sheetViews>
    <sheetView showZeros="0" zoomScaleSheetLayoutView="100" workbookViewId="0" topLeftCell="A9">
      <selection activeCell="E27" sqref="E27"/>
    </sheetView>
  </sheetViews>
  <sheetFormatPr defaultColWidth="9" defaultRowHeight="11.25"/>
  <cols>
    <col min="1" max="1" width="35.5" style="0" customWidth="1"/>
    <col min="2" max="3" width="13.33203125" style="0" customWidth="1"/>
    <col min="4" max="4" width="11.33203125" style="0" customWidth="1"/>
    <col min="5" max="5" width="48.66015625" style="0" customWidth="1"/>
    <col min="6" max="6" width="13.16015625" style="0" customWidth="1"/>
    <col min="7" max="7" width="12.16015625" style="0" customWidth="1"/>
    <col min="8" max="8" width="12.5" style="0" customWidth="1"/>
    <col min="12" max="14" width="15.16015625" style="0" bestFit="1" customWidth="1"/>
  </cols>
  <sheetData>
    <row r="1" spans="1:8" ht="27.75" customHeight="1">
      <c r="A1" s="100" t="s">
        <v>184</v>
      </c>
      <c r="B1" s="100"/>
      <c r="C1" s="100"/>
      <c r="D1" s="100"/>
      <c r="E1" s="100"/>
      <c r="F1" s="100"/>
      <c r="G1" s="101"/>
      <c r="H1" s="101"/>
    </row>
    <row r="2" spans="1:7" ht="15">
      <c r="A2" s="102"/>
      <c r="B2" s="102"/>
      <c r="C2" s="103"/>
      <c r="D2" s="103"/>
      <c r="E2" s="104"/>
      <c r="G2" s="105" t="s">
        <v>1</v>
      </c>
    </row>
    <row r="3" spans="1:8" ht="18.75" customHeight="1">
      <c r="A3" s="106" t="s">
        <v>185</v>
      </c>
      <c r="B3" s="106"/>
      <c r="C3" s="106"/>
      <c r="D3" s="106"/>
      <c r="E3" s="106" t="s">
        <v>186</v>
      </c>
      <c r="F3" s="107"/>
      <c r="G3" s="108"/>
      <c r="H3" s="109"/>
    </row>
    <row r="4" spans="1:8" ht="30.75">
      <c r="A4" s="110" t="s">
        <v>187</v>
      </c>
      <c r="B4" s="111" t="s">
        <v>129</v>
      </c>
      <c r="C4" s="112" t="s">
        <v>9</v>
      </c>
      <c r="D4" s="113" t="s">
        <v>10</v>
      </c>
      <c r="E4" s="114" t="s">
        <v>187</v>
      </c>
      <c r="F4" s="111" t="s">
        <v>129</v>
      </c>
      <c r="G4" s="112" t="s">
        <v>9</v>
      </c>
      <c r="H4" s="115" t="s">
        <v>10</v>
      </c>
    </row>
    <row r="5" spans="1:8" s="99" customFormat="1" ht="24.75" customHeight="1">
      <c r="A5" s="116" t="s">
        <v>188</v>
      </c>
      <c r="B5" s="117">
        <f>SUM(B6:B13)</f>
        <v>134323</v>
      </c>
      <c r="C5" s="117"/>
      <c r="D5" s="117">
        <f>B5+C5</f>
        <v>134323</v>
      </c>
      <c r="E5" s="118" t="s">
        <v>189</v>
      </c>
      <c r="F5" s="119">
        <f>SUM(F6:F18)</f>
        <v>64191</v>
      </c>
      <c r="G5" s="119">
        <f>SUM(G6:G18)</f>
        <v>102528.9</v>
      </c>
      <c r="H5" s="120">
        <f>F5+G5</f>
        <v>166719.9</v>
      </c>
    </row>
    <row r="6" spans="1:8" s="99" customFormat="1" ht="24.75" customHeight="1">
      <c r="A6" s="121" t="s">
        <v>190</v>
      </c>
      <c r="B6" s="117">
        <v>130283</v>
      </c>
      <c r="C6" s="122"/>
      <c r="D6" s="117">
        <f aca="true" t="shared" si="0" ref="D6:D13">B6+C6</f>
        <v>130283</v>
      </c>
      <c r="E6" s="123" t="s">
        <v>191</v>
      </c>
      <c r="F6" s="119"/>
      <c r="G6" s="119">
        <v>6</v>
      </c>
      <c r="H6" s="120">
        <f aca="true" t="shared" si="1" ref="H6:H23">F6+G6</f>
        <v>6</v>
      </c>
    </row>
    <row r="7" spans="1:8" s="99" customFormat="1" ht="24.75" customHeight="1">
      <c r="A7" s="121" t="s">
        <v>192</v>
      </c>
      <c r="B7" s="117">
        <v>2000</v>
      </c>
      <c r="C7" s="122"/>
      <c r="D7" s="117">
        <f t="shared" si="0"/>
        <v>2000</v>
      </c>
      <c r="E7" s="124" t="s">
        <v>193</v>
      </c>
      <c r="F7" s="119"/>
      <c r="G7" s="119">
        <v>2596.92</v>
      </c>
      <c r="H7" s="120">
        <f t="shared" si="1"/>
        <v>2596.92</v>
      </c>
    </row>
    <row r="8" spans="1:8" s="99" customFormat="1" ht="24.75" customHeight="1">
      <c r="A8" s="121" t="s">
        <v>194</v>
      </c>
      <c r="B8" s="117">
        <v>1000</v>
      </c>
      <c r="C8" s="122"/>
      <c r="D8" s="117">
        <f t="shared" si="0"/>
        <v>1000</v>
      </c>
      <c r="E8" s="124" t="s">
        <v>195</v>
      </c>
      <c r="F8" s="119">
        <v>60151</v>
      </c>
      <c r="G8" s="119"/>
      <c r="H8" s="120">
        <f t="shared" si="1"/>
        <v>60151</v>
      </c>
    </row>
    <row r="9" spans="1:8" s="99" customFormat="1" ht="24.75" customHeight="1">
      <c r="A9" s="121" t="s">
        <v>196</v>
      </c>
      <c r="B9" s="117">
        <v>540</v>
      </c>
      <c r="C9" s="122"/>
      <c r="D9" s="117">
        <f t="shared" si="0"/>
        <v>540</v>
      </c>
      <c r="E9" s="124" t="s">
        <v>197</v>
      </c>
      <c r="F9" s="119">
        <f>B7</f>
        <v>2000</v>
      </c>
      <c r="G9" s="119"/>
      <c r="H9" s="120">
        <f t="shared" si="1"/>
        <v>2000</v>
      </c>
    </row>
    <row r="10" spans="1:8" s="99" customFormat="1" ht="24.75" customHeight="1">
      <c r="A10" s="121" t="s">
        <v>198</v>
      </c>
      <c r="B10" s="117">
        <v>500</v>
      </c>
      <c r="C10" s="117"/>
      <c r="D10" s="117">
        <f t="shared" si="0"/>
        <v>500</v>
      </c>
      <c r="E10" s="124" t="s">
        <v>199</v>
      </c>
      <c r="F10" s="119">
        <v>1000</v>
      </c>
      <c r="G10" s="119"/>
      <c r="H10" s="120">
        <f t="shared" si="1"/>
        <v>1000</v>
      </c>
    </row>
    <row r="11" spans="1:8" s="99" customFormat="1" ht="24.75" customHeight="1">
      <c r="A11" s="121" t="s">
        <v>200</v>
      </c>
      <c r="B11" s="117"/>
      <c r="C11" s="117"/>
      <c r="D11" s="117">
        <f t="shared" si="0"/>
        <v>0</v>
      </c>
      <c r="E11" s="124" t="s">
        <v>201</v>
      </c>
      <c r="F11" s="119"/>
      <c r="G11" s="125"/>
      <c r="H11" s="120">
        <f t="shared" si="1"/>
        <v>0</v>
      </c>
    </row>
    <row r="12" spans="1:8" s="99" customFormat="1" ht="24.75" customHeight="1">
      <c r="A12" s="126" t="s">
        <v>202</v>
      </c>
      <c r="B12" s="117"/>
      <c r="C12" s="117"/>
      <c r="D12" s="117">
        <f t="shared" si="0"/>
        <v>0</v>
      </c>
      <c r="E12" s="124" t="s">
        <v>203</v>
      </c>
      <c r="F12" s="119">
        <f>B9</f>
        <v>540</v>
      </c>
      <c r="G12" s="125"/>
      <c r="H12" s="120">
        <f t="shared" si="1"/>
        <v>540</v>
      </c>
    </row>
    <row r="13" spans="1:8" s="99" customFormat="1" ht="24.75" customHeight="1">
      <c r="A13" s="121" t="s">
        <v>204</v>
      </c>
      <c r="B13" s="117"/>
      <c r="C13" s="117"/>
      <c r="D13" s="117">
        <f t="shared" si="0"/>
        <v>0</v>
      </c>
      <c r="E13" s="124" t="s">
        <v>205</v>
      </c>
      <c r="F13" s="119">
        <f>B10</f>
        <v>500</v>
      </c>
      <c r="G13" s="125"/>
      <c r="H13" s="120">
        <f t="shared" si="1"/>
        <v>500</v>
      </c>
    </row>
    <row r="14" spans="1:8" s="99" customFormat="1" ht="24.75" customHeight="1">
      <c r="A14" s="121"/>
      <c r="B14" s="117"/>
      <c r="C14" s="117"/>
      <c r="D14" s="117"/>
      <c r="E14" s="124" t="s">
        <v>206</v>
      </c>
      <c r="F14" s="119"/>
      <c r="G14" s="125"/>
      <c r="H14" s="120">
        <f t="shared" si="1"/>
        <v>0</v>
      </c>
    </row>
    <row r="15" spans="1:8" s="99" customFormat="1" ht="24.75" customHeight="1">
      <c r="A15" s="127"/>
      <c r="B15" s="117"/>
      <c r="C15" s="117"/>
      <c r="D15" s="117">
        <f aca="true" t="shared" si="2" ref="D15:D23">B15+C15</f>
        <v>0</v>
      </c>
      <c r="E15" s="124" t="s">
        <v>207</v>
      </c>
      <c r="F15" s="119"/>
      <c r="G15" s="125"/>
      <c r="H15" s="120">
        <f t="shared" si="1"/>
        <v>0</v>
      </c>
    </row>
    <row r="16" spans="1:8" s="99" customFormat="1" ht="24.75" customHeight="1">
      <c r="A16" s="127"/>
      <c r="B16" s="117"/>
      <c r="C16" s="117"/>
      <c r="D16" s="117"/>
      <c r="E16" s="124" t="s">
        <v>208</v>
      </c>
      <c r="F16" s="119"/>
      <c r="G16" s="125"/>
      <c r="H16" s="120">
        <f t="shared" si="1"/>
        <v>0</v>
      </c>
    </row>
    <row r="17" spans="1:8" s="99" customFormat="1" ht="24.75" customHeight="1">
      <c r="A17" s="126"/>
      <c r="B17" s="128"/>
      <c r="C17" s="128"/>
      <c r="D17" s="117">
        <f t="shared" si="2"/>
        <v>0</v>
      </c>
      <c r="E17" s="123" t="s">
        <v>209</v>
      </c>
      <c r="F17" s="119"/>
      <c r="G17" s="125">
        <v>2025.98</v>
      </c>
      <c r="H17" s="120">
        <f t="shared" si="1"/>
        <v>2025.98</v>
      </c>
    </row>
    <row r="18" spans="1:8" s="99" customFormat="1" ht="24.75" customHeight="1">
      <c r="A18" s="126"/>
      <c r="B18" s="128"/>
      <c r="C18" s="128"/>
      <c r="D18" s="117"/>
      <c r="E18" s="129" t="s">
        <v>210</v>
      </c>
      <c r="F18" s="119"/>
      <c r="G18" s="125">
        <v>97900</v>
      </c>
      <c r="H18" s="120">
        <f t="shared" si="1"/>
        <v>97900</v>
      </c>
    </row>
    <row r="19" spans="1:8" s="99" customFormat="1" ht="24.75" customHeight="1">
      <c r="A19" s="121" t="s">
        <v>211</v>
      </c>
      <c r="B19" s="117"/>
      <c r="C19" s="117">
        <v>97900</v>
      </c>
      <c r="D19" s="117">
        <f t="shared" si="2"/>
        <v>97900</v>
      </c>
      <c r="E19" s="123" t="s">
        <v>212</v>
      </c>
      <c r="F19" s="119">
        <v>27807</v>
      </c>
      <c r="G19" s="119">
        <v>30930</v>
      </c>
      <c r="H19" s="120">
        <f t="shared" si="1"/>
        <v>58737</v>
      </c>
    </row>
    <row r="20" spans="1:8" s="99" customFormat="1" ht="24.75" customHeight="1">
      <c r="A20" s="121" t="s">
        <v>213</v>
      </c>
      <c r="B20" s="128"/>
      <c r="C20" s="117">
        <v>4628.9</v>
      </c>
      <c r="D20" s="117">
        <f t="shared" si="2"/>
        <v>4628.9</v>
      </c>
      <c r="E20" s="123" t="s">
        <v>214</v>
      </c>
      <c r="F20" s="119">
        <v>93</v>
      </c>
      <c r="G20" s="119"/>
      <c r="H20" s="120">
        <f t="shared" si="1"/>
        <v>93</v>
      </c>
    </row>
    <row r="21" spans="1:8" s="99" customFormat="1" ht="24.75" customHeight="1">
      <c r="A21" s="126" t="s">
        <v>215</v>
      </c>
      <c r="B21" s="128"/>
      <c r="C21" s="128">
        <v>30930</v>
      </c>
      <c r="D21" s="117">
        <f t="shared" si="2"/>
        <v>30930</v>
      </c>
      <c r="E21" s="123" t="s">
        <v>216</v>
      </c>
      <c r="F21" s="119">
        <v>46059</v>
      </c>
      <c r="G21" s="125"/>
      <c r="H21" s="120">
        <f t="shared" si="1"/>
        <v>46059</v>
      </c>
    </row>
    <row r="22" spans="1:8" s="99" customFormat="1" ht="24.75" customHeight="1">
      <c r="A22" s="121" t="s">
        <v>217</v>
      </c>
      <c r="B22" s="128">
        <v>3827</v>
      </c>
      <c r="C22" s="128">
        <v>2861</v>
      </c>
      <c r="D22" s="117">
        <f t="shared" si="2"/>
        <v>6688</v>
      </c>
      <c r="E22" s="123" t="s">
        <v>218</v>
      </c>
      <c r="F22" s="119"/>
      <c r="G22" s="130">
        <v>2861</v>
      </c>
      <c r="H22" s="120">
        <f t="shared" si="1"/>
        <v>2861</v>
      </c>
    </row>
    <row r="23" spans="1:8" s="99" customFormat="1" ht="24.75" customHeight="1">
      <c r="A23" s="126" t="s">
        <v>219</v>
      </c>
      <c r="B23" s="128">
        <f>B22</f>
        <v>3827</v>
      </c>
      <c r="C23" s="128">
        <v>2861</v>
      </c>
      <c r="D23" s="117">
        <f t="shared" si="2"/>
        <v>6688</v>
      </c>
      <c r="E23" s="131"/>
      <c r="F23" s="132"/>
      <c r="G23" s="133"/>
      <c r="H23" s="134">
        <f t="shared" si="1"/>
        <v>0</v>
      </c>
    </row>
    <row r="24" spans="1:8" s="99" customFormat="1" ht="24.75" customHeight="1">
      <c r="A24" s="135" t="s">
        <v>220</v>
      </c>
      <c r="B24" s="136">
        <f aca="true" t="shared" si="3" ref="B24:H24">B5+B19+B20+B21+B22</f>
        <v>138150</v>
      </c>
      <c r="C24" s="136">
        <f t="shared" si="3"/>
        <v>136319.9</v>
      </c>
      <c r="D24" s="136">
        <f t="shared" si="3"/>
        <v>274469.9</v>
      </c>
      <c r="E24" s="137" t="s">
        <v>124</v>
      </c>
      <c r="F24" s="136">
        <f t="shared" si="3"/>
        <v>138150</v>
      </c>
      <c r="G24" s="136">
        <f t="shared" si="3"/>
        <v>136319.9</v>
      </c>
      <c r="H24" s="138">
        <f t="shared" si="3"/>
        <v>274469.9</v>
      </c>
    </row>
  </sheetData>
  <sheetProtection/>
  <mergeCells count="3">
    <mergeCell ref="A1:H1"/>
    <mergeCell ref="A3:D3"/>
    <mergeCell ref="E3:H3"/>
  </mergeCells>
  <printOptions/>
  <pageMargins left="0.7513888888888889" right="0.7513888888888889" top="0.7986111111111112" bottom="0.7986111111111112" header="0.5118055555555555" footer="0.5118055555555555"/>
  <pageSetup horizontalDpi="600" verticalDpi="600" orientation="landscape" paperSize="9"/>
  <headerFooter scaleWithDoc="0" alignWithMargins="0">
    <oddFooter>&amp;L&amp;"宋体"&amp;9&amp;C&amp;"宋体"&amp;9 6&amp;R&amp;"宋体"&amp;9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G27"/>
  <sheetViews>
    <sheetView showZeros="0" zoomScaleSheetLayoutView="100" workbookViewId="0" topLeftCell="A1">
      <selection activeCell="H21" sqref="H21"/>
    </sheetView>
  </sheetViews>
  <sheetFormatPr defaultColWidth="9" defaultRowHeight="11.25"/>
  <cols>
    <col min="1" max="1" width="13" style="72" customWidth="1"/>
    <col min="2" max="2" width="13.33203125" style="73" customWidth="1"/>
    <col min="3" max="3" width="26.33203125" style="72" customWidth="1"/>
    <col min="4" max="4" width="18" style="72" hidden="1" customWidth="1"/>
    <col min="5" max="5" width="49.16015625" style="74" customWidth="1"/>
    <col min="6" max="6" width="12.83203125" style="75" customWidth="1"/>
    <col min="7" max="7" width="14.5" style="75" hidden="1" customWidth="1"/>
    <col min="8" max="16384" width="9" style="72" customWidth="1"/>
  </cols>
  <sheetData>
    <row r="1" spans="1:2" ht="30" customHeight="1">
      <c r="A1" s="76" t="s">
        <v>221</v>
      </c>
      <c r="B1" s="76"/>
    </row>
    <row r="2" spans="1:6" ht="43.5" customHeight="1">
      <c r="A2" s="77" t="s">
        <v>222</v>
      </c>
      <c r="B2" s="77"/>
      <c r="C2" s="77"/>
      <c r="D2" s="77"/>
      <c r="E2" s="77"/>
      <c r="F2" s="77"/>
    </row>
    <row r="3" spans="2:6" ht="24" customHeight="1">
      <c r="B3" s="77"/>
      <c r="C3" s="77"/>
      <c r="D3" s="77"/>
      <c r="E3" s="78" t="s">
        <v>223</v>
      </c>
      <c r="F3" s="78"/>
    </row>
    <row r="4" spans="1:7" ht="36.75" customHeight="1">
      <c r="A4" s="79" t="s">
        <v>224</v>
      </c>
      <c r="B4" s="79" t="s">
        <v>225</v>
      </c>
      <c r="C4" s="79"/>
      <c r="D4" s="79" t="s">
        <v>226</v>
      </c>
      <c r="E4" s="79" t="s">
        <v>227</v>
      </c>
      <c r="F4" s="80" t="s">
        <v>228</v>
      </c>
      <c r="G4" s="80" t="s">
        <v>229</v>
      </c>
    </row>
    <row r="5" spans="1:7" ht="36.75" customHeight="1">
      <c r="A5" s="81" t="s">
        <v>230</v>
      </c>
      <c r="B5" s="82" t="s">
        <v>231</v>
      </c>
      <c r="C5" s="83"/>
      <c r="D5" s="83"/>
      <c r="E5" s="84"/>
      <c r="F5" s="85">
        <f>SUM(F6:F19)</f>
        <v>9500</v>
      </c>
      <c r="G5" s="80"/>
    </row>
    <row r="6" spans="1:7" ht="36.75" customHeight="1">
      <c r="A6" s="81" t="s">
        <v>230</v>
      </c>
      <c r="B6" s="86">
        <v>2100401</v>
      </c>
      <c r="C6" s="87" t="s">
        <v>232</v>
      </c>
      <c r="D6" s="88"/>
      <c r="E6" s="89" t="s">
        <v>233</v>
      </c>
      <c r="F6" s="85">
        <v>1000</v>
      </c>
      <c r="G6" s="80"/>
    </row>
    <row r="7" spans="1:7" s="71" customFormat="1" ht="36.75" customHeight="1">
      <c r="A7" s="81" t="s">
        <v>230</v>
      </c>
      <c r="B7" s="86">
        <v>2140104</v>
      </c>
      <c r="C7" s="87" t="s">
        <v>234</v>
      </c>
      <c r="D7" s="87" t="s">
        <v>235</v>
      </c>
      <c r="E7" s="90" t="s">
        <v>236</v>
      </c>
      <c r="F7" s="86">
        <v>615</v>
      </c>
      <c r="G7" s="91" t="s">
        <v>237</v>
      </c>
    </row>
    <row r="8" spans="1:7" s="71" customFormat="1" ht="36.75" customHeight="1">
      <c r="A8" s="81" t="s">
        <v>230</v>
      </c>
      <c r="B8" s="86">
        <v>2050202</v>
      </c>
      <c r="C8" s="87" t="s">
        <v>238</v>
      </c>
      <c r="D8" s="87"/>
      <c r="E8" s="90" t="s">
        <v>239</v>
      </c>
      <c r="F8" s="92">
        <v>500</v>
      </c>
      <c r="G8" s="91"/>
    </row>
    <row r="9" spans="1:7" s="71" customFormat="1" ht="36.75" customHeight="1">
      <c r="A9" s="81" t="s">
        <v>230</v>
      </c>
      <c r="B9" s="86">
        <v>2240299</v>
      </c>
      <c r="C9" s="87" t="s">
        <v>240</v>
      </c>
      <c r="D9" s="87" t="s">
        <v>241</v>
      </c>
      <c r="E9" s="90" t="s">
        <v>242</v>
      </c>
      <c r="F9" s="92">
        <v>500</v>
      </c>
      <c r="G9" s="91" t="s">
        <v>237</v>
      </c>
    </row>
    <row r="10" spans="1:7" s="71" customFormat="1" ht="36.75" customHeight="1">
      <c r="A10" s="81" t="s">
        <v>230</v>
      </c>
      <c r="B10" s="86">
        <v>2140106</v>
      </c>
      <c r="C10" s="87" t="s">
        <v>243</v>
      </c>
      <c r="D10" s="87"/>
      <c r="E10" s="93" t="s">
        <v>244</v>
      </c>
      <c r="F10" s="94">
        <v>485</v>
      </c>
      <c r="G10" s="91"/>
    </row>
    <row r="11" spans="1:7" s="71" customFormat="1" ht="36.75" customHeight="1">
      <c r="A11" s="81" t="s">
        <v>230</v>
      </c>
      <c r="B11" s="86">
        <v>2140104</v>
      </c>
      <c r="C11" s="87" t="s">
        <v>234</v>
      </c>
      <c r="D11" s="87"/>
      <c r="E11" s="90" t="s">
        <v>245</v>
      </c>
      <c r="F11" s="92">
        <v>614</v>
      </c>
      <c r="G11" s="91"/>
    </row>
    <row r="12" spans="1:7" s="71" customFormat="1" ht="36.75" customHeight="1">
      <c r="A12" s="81" t="s">
        <v>230</v>
      </c>
      <c r="B12" s="86">
        <v>2140104</v>
      </c>
      <c r="C12" s="87" t="s">
        <v>234</v>
      </c>
      <c r="D12" s="87"/>
      <c r="E12" s="90" t="s">
        <v>246</v>
      </c>
      <c r="F12" s="92">
        <v>486</v>
      </c>
      <c r="G12" s="91"/>
    </row>
    <row r="13" spans="1:7" s="71" customFormat="1" ht="36.75" customHeight="1">
      <c r="A13" s="81" t="s">
        <v>230</v>
      </c>
      <c r="B13" s="86">
        <v>2110302</v>
      </c>
      <c r="C13" s="87" t="s">
        <v>247</v>
      </c>
      <c r="D13" s="87"/>
      <c r="E13" s="90" t="s">
        <v>248</v>
      </c>
      <c r="F13" s="86">
        <v>1100</v>
      </c>
      <c r="G13" s="91"/>
    </row>
    <row r="14" spans="1:7" s="71" customFormat="1" ht="36.75" customHeight="1">
      <c r="A14" s="81" t="s">
        <v>230</v>
      </c>
      <c r="B14" s="86">
        <v>2130305</v>
      </c>
      <c r="C14" s="87" t="s">
        <v>249</v>
      </c>
      <c r="D14" s="87"/>
      <c r="E14" s="95" t="s">
        <v>250</v>
      </c>
      <c r="F14" s="92">
        <v>2050</v>
      </c>
      <c r="G14" s="91"/>
    </row>
    <row r="15" spans="1:7" s="71" customFormat="1" ht="36.75" customHeight="1">
      <c r="A15" s="81" t="s">
        <v>230</v>
      </c>
      <c r="B15" s="86">
        <v>2140104</v>
      </c>
      <c r="C15" s="87" t="s">
        <v>234</v>
      </c>
      <c r="D15" s="87"/>
      <c r="E15" s="95" t="s">
        <v>251</v>
      </c>
      <c r="F15" s="92">
        <v>1000</v>
      </c>
      <c r="G15" s="91"/>
    </row>
    <row r="16" spans="1:7" s="71" customFormat="1" ht="36.75" customHeight="1">
      <c r="A16" s="81" t="s">
        <v>230</v>
      </c>
      <c r="B16" s="86">
        <v>2240299</v>
      </c>
      <c r="C16" s="87" t="s">
        <v>240</v>
      </c>
      <c r="D16" s="87"/>
      <c r="E16" s="95" t="s">
        <v>252</v>
      </c>
      <c r="F16" s="92">
        <v>400</v>
      </c>
      <c r="G16" s="91"/>
    </row>
    <row r="17" spans="1:7" s="71" customFormat="1" ht="36.75" customHeight="1">
      <c r="A17" s="81" t="s">
        <v>230</v>
      </c>
      <c r="B17" s="86">
        <v>2110302</v>
      </c>
      <c r="C17" s="87" t="s">
        <v>247</v>
      </c>
      <c r="D17" s="87"/>
      <c r="E17" s="95" t="s">
        <v>253</v>
      </c>
      <c r="F17" s="92">
        <v>300</v>
      </c>
      <c r="G17" s="91"/>
    </row>
    <row r="18" spans="1:7" s="71" customFormat="1" ht="36.75" customHeight="1">
      <c r="A18" s="81" t="s">
        <v>230</v>
      </c>
      <c r="B18" s="86">
        <v>2120501</v>
      </c>
      <c r="C18" s="87" t="s">
        <v>254</v>
      </c>
      <c r="D18" s="87"/>
      <c r="E18" s="95" t="s">
        <v>255</v>
      </c>
      <c r="F18" s="92">
        <v>310</v>
      </c>
      <c r="G18" s="91"/>
    </row>
    <row r="19" spans="1:7" s="71" customFormat="1" ht="36.75" customHeight="1">
      <c r="A19" s="81" t="s">
        <v>230</v>
      </c>
      <c r="B19" s="86">
        <v>2120501</v>
      </c>
      <c r="C19" s="87" t="s">
        <v>254</v>
      </c>
      <c r="D19" s="87"/>
      <c r="E19" s="95" t="s">
        <v>256</v>
      </c>
      <c r="F19" s="92">
        <v>140</v>
      </c>
      <c r="G19" s="91"/>
    </row>
    <row r="20" spans="1:7" s="71" customFormat="1" ht="36.75" customHeight="1">
      <c r="A20" s="81" t="s">
        <v>257</v>
      </c>
      <c r="B20" s="96" t="s">
        <v>231</v>
      </c>
      <c r="C20" s="97"/>
      <c r="D20" s="97"/>
      <c r="E20" s="98"/>
      <c r="F20" s="86">
        <f>SUM(F21:F27)</f>
        <v>128830</v>
      </c>
      <c r="G20" s="91"/>
    </row>
    <row r="21" spans="1:7" s="71" customFormat="1" ht="36.75" customHeight="1">
      <c r="A21" s="81" t="s">
        <v>257</v>
      </c>
      <c r="B21" s="86">
        <v>2290402</v>
      </c>
      <c r="C21" s="87" t="s">
        <v>258</v>
      </c>
      <c r="D21" s="87"/>
      <c r="E21" s="95" t="s">
        <v>259</v>
      </c>
      <c r="F21" s="86">
        <v>11500</v>
      </c>
      <c r="G21" s="91" t="s">
        <v>237</v>
      </c>
    </row>
    <row r="22" spans="1:7" s="71" customFormat="1" ht="36.75" customHeight="1">
      <c r="A22" s="81" t="s">
        <v>257</v>
      </c>
      <c r="B22" s="86">
        <v>2290402</v>
      </c>
      <c r="C22" s="87" t="s">
        <v>258</v>
      </c>
      <c r="D22" s="87"/>
      <c r="E22" s="95" t="s">
        <v>260</v>
      </c>
      <c r="F22" s="86">
        <v>86400</v>
      </c>
      <c r="G22" s="91" t="s">
        <v>237</v>
      </c>
    </row>
    <row r="23" spans="1:7" s="71" customFormat="1" ht="36.75" customHeight="1">
      <c r="A23" s="81" t="s">
        <v>257</v>
      </c>
      <c r="B23" s="86">
        <v>2310411</v>
      </c>
      <c r="C23" s="87" t="s">
        <v>261</v>
      </c>
      <c r="D23" s="87"/>
      <c r="E23" s="95" t="s">
        <v>262</v>
      </c>
      <c r="F23" s="86">
        <v>7000</v>
      </c>
      <c r="G23" s="91"/>
    </row>
    <row r="24" spans="1:7" s="71" customFormat="1" ht="36.75" customHeight="1">
      <c r="A24" s="81" t="s">
        <v>257</v>
      </c>
      <c r="B24" s="86">
        <v>2310411</v>
      </c>
      <c r="C24" s="87" t="s">
        <v>261</v>
      </c>
      <c r="D24" s="87"/>
      <c r="E24" s="95" t="s">
        <v>263</v>
      </c>
      <c r="F24" s="86">
        <v>3000</v>
      </c>
      <c r="G24" s="91"/>
    </row>
    <row r="25" spans="1:7" s="71" customFormat="1" ht="36.75" customHeight="1">
      <c r="A25" s="81" t="s">
        <v>257</v>
      </c>
      <c r="B25" s="86">
        <v>2310411</v>
      </c>
      <c r="C25" s="87" t="s">
        <v>261</v>
      </c>
      <c r="D25" s="87"/>
      <c r="E25" s="95" t="s">
        <v>264</v>
      </c>
      <c r="F25" s="86">
        <v>11000</v>
      </c>
      <c r="G25" s="91"/>
    </row>
    <row r="26" spans="1:7" s="71" customFormat="1" ht="36.75" customHeight="1">
      <c r="A26" s="81" t="s">
        <v>257</v>
      </c>
      <c r="B26" s="86">
        <v>2310411</v>
      </c>
      <c r="C26" s="87" t="s">
        <v>261</v>
      </c>
      <c r="D26" s="87"/>
      <c r="E26" s="95" t="s">
        <v>265</v>
      </c>
      <c r="F26" s="86">
        <v>560.33</v>
      </c>
      <c r="G26" s="91"/>
    </row>
    <row r="27" spans="1:7" s="71" customFormat="1" ht="36.75" customHeight="1">
      <c r="A27" s="81" t="s">
        <v>257</v>
      </c>
      <c r="B27" s="86">
        <v>2310411</v>
      </c>
      <c r="C27" s="87" t="s">
        <v>261</v>
      </c>
      <c r="D27" s="87"/>
      <c r="E27" s="95" t="s">
        <v>266</v>
      </c>
      <c r="F27" s="86">
        <v>9369.67</v>
      </c>
      <c r="G27" s="91"/>
    </row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</sheetData>
  <sheetProtection/>
  <mergeCells count="6">
    <mergeCell ref="A1:B1"/>
    <mergeCell ref="A2:F2"/>
    <mergeCell ref="E3:F3"/>
    <mergeCell ref="B4:C4"/>
    <mergeCell ref="B5:E5"/>
    <mergeCell ref="B20:E20"/>
  </mergeCells>
  <printOptions horizontalCentered="1"/>
  <pageMargins left="0.3576388888888889" right="0.3576388888888889" top="0.5979166666666667" bottom="0.7986111111111112" header="0.5118055555555555" footer="0.5118055555555555"/>
  <pageSetup firstPageNumber="7" useFirstPageNumber="1" horizontalDpi="600" verticalDpi="600" orientation="portrait" paperSize="9"/>
  <headerFooter scaleWithDoc="0" alignWithMargins="0">
    <oddFooter>&amp;L&amp;"宋体"&amp;9&amp;C&amp;"宋体"&amp;9&amp;P&amp;R&amp;"宋体"&amp;9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Q54"/>
  <sheetViews>
    <sheetView showZeros="0" zoomScaleSheetLayoutView="100" workbookViewId="0" topLeftCell="B1">
      <selection activeCell="T13" sqref="T13"/>
    </sheetView>
  </sheetViews>
  <sheetFormatPr defaultColWidth="9" defaultRowHeight="11.25"/>
  <cols>
    <col min="1" max="1" width="11.66015625" style="2" hidden="1" customWidth="1"/>
    <col min="2" max="2" width="8.66015625" style="3" customWidth="1"/>
    <col min="3" max="3" width="17.83203125" style="4" customWidth="1"/>
    <col min="4" max="4" width="11.33203125" style="4" hidden="1" customWidth="1"/>
    <col min="5" max="5" width="15" style="5" hidden="1" customWidth="1"/>
    <col min="6" max="6" width="17.66015625" style="6" hidden="1" customWidth="1"/>
    <col min="7" max="8" width="22.33203125" style="6" hidden="1" customWidth="1"/>
    <col min="9" max="9" width="9.5" style="6" hidden="1" customWidth="1"/>
    <col min="10" max="10" width="32.66015625" style="3" customWidth="1"/>
    <col min="11" max="11" width="13.66015625" style="6" hidden="1" customWidth="1"/>
    <col min="12" max="12" width="14" style="7" customWidth="1"/>
    <col min="13" max="13" width="12.66015625" style="7" customWidth="1"/>
    <col min="14" max="14" width="14" style="7" customWidth="1"/>
    <col min="15" max="16" width="10.66015625" style="7" hidden="1" customWidth="1"/>
    <col min="17" max="17" width="9.66015625" style="0" hidden="1" customWidth="1"/>
  </cols>
  <sheetData>
    <row r="1" spans="1:16" ht="30" customHeight="1">
      <c r="A1" s="8" t="s">
        <v>267</v>
      </c>
      <c r="B1" s="9" t="s">
        <v>268</v>
      </c>
      <c r="C1" s="9"/>
      <c r="D1" s="10"/>
      <c r="E1" s="11"/>
      <c r="F1" s="12"/>
      <c r="G1" s="12"/>
      <c r="H1" s="12"/>
      <c r="I1" s="12"/>
      <c r="J1" s="39"/>
      <c r="K1" s="12"/>
      <c r="L1" s="40"/>
      <c r="M1" s="40"/>
      <c r="N1" s="40"/>
      <c r="O1" s="40"/>
      <c r="P1" s="40"/>
    </row>
    <row r="2" spans="1:16" ht="34.5" customHeight="1">
      <c r="A2" s="13" t="s">
        <v>269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1"/>
      <c r="M2" s="41"/>
      <c r="N2" s="41"/>
      <c r="O2" s="41"/>
      <c r="P2" s="40"/>
    </row>
    <row r="3" spans="1:16" ht="16.5" customHeight="1">
      <c r="A3" s="14"/>
      <c r="B3" s="15"/>
      <c r="C3" s="10"/>
      <c r="D3" s="16"/>
      <c r="E3" s="17"/>
      <c r="F3" s="12"/>
      <c r="G3" s="12"/>
      <c r="H3" s="12"/>
      <c r="I3" s="12"/>
      <c r="J3" s="39"/>
      <c r="K3" s="12"/>
      <c r="L3" s="42" t="s">
        <v>270</v>
      </c>
      <c r="M3" s="42"/>
      <c r="N3" s="42"/>
      <c r="O3" s="42"/>
      <c r="P3" s="40"/>
    </row>
    <row r="4" spans="1:17" ht="22.5" customHeight="1">
      <c r="A4" s="18" t="s">
        <v>224</v>
      </c>
      <c r="B4" s="19" t="s">
        <v>225</v>
      </c>
      <c r="C4" s="19"/>
      <c r="D4" s="20"/>
      <c r="E4" s="20"/>
      <c r="F4" s="19" t="s">
        <v>226</v>
      </c>
      <c r="G4" s="20"/>
      <c r="H4" s="20"/>
      <c r="I4" s="19" t="s">
        <v>271</v>
      </c>
      <c r="J4" s="43" t="s">
        <v>272</v>
      </c>
      <c r="K4" s="44" t="s">
        <v>273</v>
      </c>
      <c r="L4" s="45" t="s">
        <v>274</v>
      </c>
      <c r="M4" s="46" t="s">
        <v>275</v>
      </c>
      <c r="N4" s="46" t="s">
        <v>228</v>
      </c>
      <c r="O4" s="45" t="s">
        <v>276</v>
      </c>
      <c r="P4" s="45"/>
      <c r="Q4" s="61" t="s">
        <v>229</v>
      </c>
    </row>
    <row r="5" spans="1:17" ht="22.5" customHeight="1">
      <c r="A5" s="18"/>
      <c r="B5" s="19"/>
      <c r="C5" s="19"/>
      <c r="D5" s="21" t="s">
        <v>277</v>
      </c>
      <c r="E5" s="21"/>
      <c r="F5" s="19"/>
      <c r="G5" s="19" t="s">
        <v>278</v>
      </c>
      <c r="H5" s="19" t="s">
        <v>279</v>
      </c>
      <c r="I5" s="19"/>
      <c r="J5" s="43"/>
      <c r="K5" s="44"/>
      <c r="L5" s="45"/>
      <c r="M5" s="47"/>
      <c r="N5" s="47"/>
      <c r="O5" s="45" t="s">
        <v>280</v>
      </c>
      <c r="P5" s="45" t="s">
        <v>281</v>
      </c>
      <c r="Q5" s="62"/>
    </row>
    <row r="6" spans="1:17" ht="27.75" customHeight="1">
      <c r="A6" s="22"/>
      <c r="B6" s="19"/>
      <c r="C6" s="19"/>
      <c r="D6" s="21"/>
      <c r="E6" s="21"/>
      <c r="F6" s="19"/>
      <c r="G6" s="19"/>
      <c r="H6" s="19"/>
      <c r="I6" s="19"/>
      <c r="J6" s="43" t="s">
        <v>175</v>
      </c>
      <c r="K6" s="44">
        <f aca="true" t="shared" si="0" ref="K6:P6">K7+K11+K15+K19+K25+K29+K34+K39+K43+K46</f>
        <v>13468.39</v>
      </c>
      <c r="L6" s="48">
        <f t="shared" si="0"/>
        <v>16881.39</v>
      </c>
      <c r="M6" s="48">
        <f t="shared" si="0"/>
        <v>51730.08</v>
      </c>
      <c r="N6" s="48">
        <f t="shared" si="0"/>
        <v>-34848.689999999995</v>
      </c>
      <c r="O6" s="44">
        <f t="shared" si="0"/>
        <v>0</v>
      </c>
      <c r="P6" s="44">
        <f t="shared" si="0"/>
        <v>0</v>
      </c>
      <c r="Q6" s="63"/>
    </row>
    <row r="7" spans="1:17" ht="27.75" customHeight="1">
      <c r="A7" s="23"/>
      <c r="B7" s="24">
        <v>201</v>
      </c>
      <c r="C7" s="24" t="s">
        <v>282</v>
      </c>
      <c r="D7" s="24"/>
      <c r="E7" s="25"/>
      <c r="F7" s="24"/>
      <c r="G7" s="25"/>
      <c r="H7" s="25"/>
      <c r="I7" s="25"/>
      <c r="J7" s="49"/>
      <c r="K7" s="50">
        <f aca="true" t="shared" si="1" ref="K7:P7">K8</f>
        <v>0</v>
      </c>
      <c r="L7" s="51">
        <f t="shared" si="1"/>
        <v>0</v>
      </c>
      <c r="M7" s="51">
        <f t="shared" si="1"/>
        <v>3600</v>
      </c>
      <c r="N7" s="51">
        <f t="shared" si="1"/>
        <v>-3600</v>
      </c>
      <c r="O7" s="50">
        <f t="shared" si="1"/>
        <v>0</v>
      </c>
      <c r="P7" s="50">
        <f t="shared" si="1"/>
        <v>0</v>
      </c>
      <c r="Q7" s="64"/>
    </row>
    <row r="8" spans="1:17" ht="27.75" customHeight="1">
      <c r="A8" s="26"/>
      <c r="B8" s="27">
        <v>20199</v>
      </c>
      <c r="C8" s="28" t="s">
        <v>283</v>
      </c>
      <c r="D8" s="28"/>
      <c r="E8" s="28"/>
      <c r="F8" s="28"/>
      <c r="G8" s="28"/>
      <c r="H8" s="29"/>
      <c r="I8" s="28"/>
      <c r="J8" s="52"/>
      <c r="K8" s="53">
        <f aca="true" t="shared" si="2" ref="K8:P8">SUM(K9:K10)</f>
        <v>0</v>
      </c>
      <c r="L8" s="54">
        <f t="shared" si="2"/>
        <v>0</v>
      </c>
      <c r="M8" s="54">
        <f t="shared" si="2"/>
        <v>3600</v>
      </c>
      <c r="N8" s="54">
        <f t="shared" si="2"/>
        <v>-3600</v>
      </c>
      <c r="O8" s="53">
        <f t="shared" si="2"/>
        <v>0</v>
      </c>
      <c r="P8" s="53">
        <f t="shared" si="2"/>
        <v>0</v>
      </c>
      <c r="Q8" s="65"/>
    </row>
    <row r="9" spans="1:17" ht="27.75" customHeight="1">
      <c r="A9" s="30" t="s">
        <v>284</v>
      </c>
      <c r="B9" s="31">
        <v>2019999</v>
      </c>
      <c r="C9" s="31" t="s">
        <v>283</v>
      </c>
      <c r="D9" s="32"/>
      <c r="E9" s="32"/>
      <c r="F9" s="32"/>
      <c r="G9" s="32"/>
      <c r="H9" s="33"/>
      <c r="I9" s="32"/>
      <c r="J9" s="55" t="s">
        <v>285</v>
      </c>
      <c r="K9" s="56"/>
      <c r="L9" s="57"/>
      <c r="M9" s="48">
        <f>L9-N9</f>
        <v>1100</v>
      </c>
      <c r="N9" s="57">
        <v>-1100</v>
      </c>
      <c r="O9" s="58"/>
      <c r="P9" s="58"/>
      <c r="Q9" s="66"/>
    </row>
    <row r="10" spans="1:17" ht="27.75" customHeight="1">
      <c r="A10" s="30" t="s">
        <v>284</v>
      </c>
      <c r="B10" s="31">
        <v>2019999</v>
      </c>
      <c r="C10" s="31" t="s">
        <v>283</v>
      </c>
      <c r="D10" s="32"/>
      <c r="E10" s="32"/>
      <c r="F10" s="32"/>
      <c r="G10" s="32"/>
      <c r="H10" s="33"/>
      <c r="I10" s="32"/>
      <c r="J10" s="55" t="s">
        <v>286</v>
      </c>
      <c r="K10" s="56"/>
      <c r="L10" s="57"/>
      <c r="M10" s="48">
        <f>L10-N10</f>
        <v>2500</v>
      </c>
      <c r="N10" s="57">
        <v>-2500</v>
      </c>
      <c r="O10" s="58"/>
      <c r="P10" s="58"/>
      <c r="Q10" s="67"/>
    </row>
    <row r="11" spans="1:17" ht="27.75" customHeight="1">
      <c r="A11" s="23"/>
      <c r="B11" s="24">
        <v>205</v>
      </c>
      <c r="C11" s="24" t="s">
        <v>287</v>
      </c>
      <c r="D11" s="24"/>
      <c r="E11" s="25"/>
      <c r="F11" s="24"/>
      <c r="G11" s="25"/>
      <c r="H11" s="25"/>
      <c r="I11" s="25"/>
      <c r="J11" s="49"/>
      <c r="K11" s="59">
        <f>SUM(K13:K13)</f>
        <v>0</v>
      </c>
      <c r="L11" s="51">
        <f>SUM(L13:L14)</f>
        <v>300</v>
      </c>
      <c r="M11" s="51">
        <f>SUM(M13:M14)</f>
        <v>500</v>
      </c>
      <c r="N11" s="51">
        <f>SUM(N13:N14)</f>
        <v>-200</v>
      </c>
      <c r="O11" s="59">
        <f aca="true" t="shared" si="3" ref="L11:Q11">SUM(O13:O13)</f>
        <v>0</v>
      </c>
      <c r="P11" s="59">
        <f t="shared" si="3"/>
        <v>0</v>
      </c>
      <c r="Q11" s="59">
        <f t="shared" si="3"/>
        <v>0</v>
      </c>
    </row>
    <row r="12" spans="1:17" ht="27.75" customHeight="1">
      <c r="A12" s="26"/>
      <c r="B12" s="27">
        <v>20502</v>
      </c>
      <c r="C12" s="28" t="s">
        <v>288</v>
      </c>
      <c r="D12" s="28"/>
      <c r="E12" s="28"/>
      <c r="F12" s="28"/>
      <c r="G12" s="28"/>
      <c r="H12" s="29"/>
      <c r="I12" s="28"/>
      <c r="J12" s="52"/>
      <c r="K12" s="53">
        <f>SUM(K13:K13)</f>
        <v>0</v>
      </c>
      <c r="L12" s="54">
        <f>SUM(L13:L14)</f>
        <v>300</v>
      </c>
      <c r="M12" s="54">
        <f>SUM(M13:M14)</f>
        <v>500</v>
      </c>
      <c r="N12" s="54">
        <f>SUM(N13:N14)</f>
        <v>-200</v>
      </c>
      <c r="O12" s="60">
        <f>SUM(O13:O13)</f>
        <v>0</v>
      </c>
      <c r="P12" s="60"/>
      <c r="Q12" s="65"/>
    </row>
    <row r="13" spans="1:17" ht="27.75" customHeight="1">
      <c r="A13" s="30" t="s">
        <v>284</v>
      </c>
      <c r="B13" s="31">
        <v>2050202</v>
      </c>
      <c r="C13" s="32" t="s">
        <v>238</v>
      </c>
      <c r="D13" s="32"/>
      <c r="E13" s="32"/>
      <c r="F13" s="32"/>
      <c r="G13" s="32"/>
      <c r="H13" s="33"/>
      <c r="I13" s="32"/>
      <c r="J13" s="55" t="s">
        <v>289</v>
      </c>
      <c r="K13" s="56"/>
      <c r="L13" s="57"/>
      <c r="M13" s="48">
        <f>L13-N13</f>
        <v>500</v>
      </c>
      <c r="N13" s="57">
        <v>-500</v>
      </c>
      <c r="O13" s="58"/>
      <c r="P13" s="58"/>
      <c r="Q13" s="67"/>
    </row>
    <row r="14" spans="1:17" ht="27.75" customHeight="1">
      <c r="A14" s="34"/>
      <c r="B14" s="31">
        <v>2059999</v>
      </c>
      <c r="C14" s="32" t="s">
        <v>290</v>
      </c>
      <c r="D14" s="32"/>
      <c r="E14" s="32"/>
      <c r="F14" s="32"/>
      <c r="G14" s="32"/>
      <c r="H14" s="33"/>
      <c r="I14" s="32"/>
      <c r="J14" s="55" t="s">
        <v>291</v>
      </c>
      <c r="K14" s="56"/>
      <c r="L14" s="57">
        <v>300</v>
      </c>
      <c r="M14" s="48"/>
      <c r="N14" s="57">
        <v>300</v>
      </c>
      <c r="O14" s="58"/>
      <c r="P14" s="58"/>
      <c r="Q14" s="67"/>
    </row>
    <row r="15" spans="1:17" ht="27.75" customHeight="1">
      <c r="A15" s="23"/>
      <c r="B15" s="24">
        <v>208</v>
      </c>
      <c r="C15" s="24" t="s">
        <v>292</v>
      </c>
      <c r="D15" s="24"/>
      <c r="E15" s="25"/>
      <c r="F15" s="24"/>
      <c r="G15" s="25"/>
      <c r="H15" s="25"/>
      <c r="I15" s="25"/>
      <c r="J15" s="49"/>
      <c r="K15" s="59">
        <f aca="true" t="shared" si="4" ref="K15:P15">SUM(K18:K18)</f>
        <v>3143.53</v>
      </c>
      <c r="L15" s="51">
        <f>SUM(L17:L18)</f>
        <v>6256.530000000001</v>
      </c>
      <c r="M15" s="51">
        <f t="shared" si="4"/>
        <v>0</v>
      </c>
      <c r="N15" s="51">
        <f>SUM(N17:N18)</f>
        <v>6256.530000000001</v>
      </c>
      <c r="O15" s="59">
        <f t="shared" si="4"/>
        <v>0</v>
      </c>
      <c r="P15" s="59">
        <f t="shared" si="4"/>
        <v>0</v>
      </c>
      <c r="Q15" s="64"/>
    </row>
    <row r="16" spans="1:17" ht="27.75" customHeight="1">
      <c r="A16" s="35"/>
      <c r="B16" s="27">
        <v>20805</v>
      </c>
      <c r="C16" s="28" t="s">
        <v>293</v>
      </c>
      <c r="D16" s="28"/>
      <c r="E16" s="28"/>
      <c r="F16" s="28"/>
      <c r="G16" s="28"/>
      <c r="H16" s="29"/>
      <c r="I16" s="28"/>
      <c r="J16" s="52"/>
      <c r="K16" s="53">
        <f>K18</f>
        <v>3143.53</v>
      </c>
      <c r="L16" s="54">
        <f>L18+L17</f>
        <v>6256.530000000001</v>
      </c>
      <c r="M16" s="48">
        <f>L16-N16</f>
        <v>0</v>
      </c>
      <c r="N16" s="54">
        <f>N18+N17</f>
        <v>6256.530000000001</v>
      </c>
      <c r="O16" s="60">
        <f>O18</f>
        <v>0</v>
      </c>
      <c r="P16" s="60">
        <f>P18</f>
        <v>0</v>
      </c>
      <c r="Q16" s="65"/>
    </row>
    <row r="17" spans="1:17" ht="27.75" customHeight="1">
      <c r="A17" s="35"/>
      <c r="B17" s="27">
        <v>2080502</v>
      </c>
      <c r="C17" s="28" t="s">
        <v>294</v>
      </c>
      <c r="D17" s="28"/>
      <c r="E17" s="28"/>
      <c r="F17" s="28"/>
      <c r="G17" s="28"/>
      <c r="H17" s="29"/>
      <c r="I17" s="28"/>
      <c r="J17" s="52"/>
      <c r="K17" s="53"/>
      <c r="L17" s="54">
        <v>3113</v>
      </c>
      <c r="M17" s="48"/>
      <c r="N17" s="54">
        <v>3113</v>
      </c>
      <c r="O17" s="60"/>
      <c r="P17" s="60"/>
      <c r="Q17" s="68"/>
    </row>
    <row r="18" spans="1:17" ht="27.75" customHeight="1">
      <c r="A18" s="35"/>
      <c r="B18" s="31">
        <v>2080506</v>
      </c>
      <c r="C18" s="32" t="s">
        <v>295</v>
      </c>
      <c r="D18" s="32"/>
      <c r="E18" s="32"/>
      <c r="F18" s="32"/>
      <c r="G18" s="32"/>
      <c r="H18" s="33"/>
      <c r="I18" s="32"/>
      <c r="J18" s="32" t="s">
        <v>296</v>
      </c>
      <c r="K18" s="56">
        <v>3143.53</v>
      </c>
      <c r="L18" s="57">
        <v>3143.53</v>
      </c>
      <c r="M18" s="48">
        <f>L18-N18</f>
        <v>0</v>
      </c>
      <c r="N18" s="57">
        <v>3143.53</v>
      </c>
      <c r="O18" s="58"/>
      <c r="P18" s="58"/>
      <c r="Q18" s="69"/>
    </row>
    <row r="19" spans="1:17" ht="27.75" customHeight="1">
      <c r="A19" s="23"/>
      <c r="B19" s="24">
        <v>210</v>
      </c>
      <c r="C19" s="24" t="s">
        <v>297</v>
      </c>
      <c r="D19" s="24"/>
      <c r="E19" s="25"/>
      <c r="F19" s="24"/>
      <c r="G19" s="25"/>
      <c r="H19" s="25"/>
      <c r="I19" s="25"/>
      <c r="J19" s="49"/>
      <c r="K19" s="59">
        <f aca="true" t="shared" si="5" ref="K19:P19">K20+K23</f>
        <v>3560.98</v>
      </c>
      <c r="L19" s="51">
        <f t="shared" si="5"/>
        <v>3560.98</v>
      </c>
      <c r="M19" s="51">
        <f t="shared" si="5"/>
        <v>41871.99</v>
      </c>
      <c r="N19" s="51">
        <f t="shared" si="5"/>
        <v>-38311.009999999995</v>
      </c>
      <c r="O19" s="59">
        <f t="shared" si="5"/>
        <v>0</v>
      </c>
      <c r="P19" s="59">
        <f t="shared" si="5"/>
        <v>0</v>
      </c>
      <c r="Q19" s="64"/>
    </row>
    <row r="20" spans="1:17" ht="27.75" customHeight="1">
      <c r="A20" s="26"/>
      <c r="B20" s="27">
        <v>21004</v>
      </c>
      <c r="C20" s="28" t="s">
        <v>298</v>
      </c>
      <c r="D20" s="28"/>
      <c r="E20" s="28"/>
      <c r="F20" s="28"/>
      <c r="G20" s="28"/>
      <c r="H20" s="29"/>
      <c r="I20" s="28"/>
      <c r="J20" s="52"/>
      <c r="K20" s="53">
        <f>SUM(K21:K22)</f>
        <v>3560.98</v>
      </c>
      <c r="L20" s="54">
        <f aca="true" t="shared" si="6" ref="L20:Q20">SUM(L21:L22)</f>
        <v>3560.98</v>
      </c>
      <c r="M20" s="54">
        <f t="shared" si="6"/>
        <v>1000</v>
      </c>
      <c r="N20" s="54">
        <f t="shared" si="6"/>
        <v>2560.98</v>
      </c>
      <c r="O20" s="53">
        <f t="shared" si="6"/>
        <v>0</v>
      </c>
      <c r="P20" s="53">
        <f t="shared" si="6"/>
        <v>0</v>
      </c>
      <c r="Q20" s="53">
        <f t="shared" si="6"/>
        <v>0</v>
      </c>
    </row>
    <row r="21" spans="1:17" ht="27.75" customHeight="1">
      <c r="A21" s="36"/>
      <c r="B21" s="31">
        <v>2100401</v>
      </c>
      <c r="C21" s="32" t="s">
        <v>232</v>
      </c>
      <c r="D21" s="32"/>
      <c r="E21" s="32"/>
      <c r="F21" s="32"/>
      <c r="G21" s="32"/>
      <c r="H21" s="33"/>
      <c r="I21" s="32"/>
      <c r="J21" s="55" t="s">
        <v>299</v>
      </c>
      <c r="K21" s="56"/>
      <c r="L21" s="57"/>
      <c r="M21" s="48">
        <f>L21-N21</f>
        <v>1000</v>
      </c>
      <c r="N21" s="57">
        <v>-1000</v>
      </c>
      <c r="O21" s="58"/>
      <c r="P21" s="58"/>
      <c r="Q21" s="70"/>
    </row>
    <row r="22" spans="1:17" ht="27.75" customHeight="1">
      <c r="A22" s="36" t="s">
        <v>300</v>
      </c>
      <c r="B22" s="31">
        <v>2100410</v>
      </c>
      <c r="C22" s="32" t="s">
        <v>301</v>
      </c>
      <c r="D22" s="32"/>
      <c r="E22" s="32"/>
      <c r="F22" s="32"/>
      <c r="G22" s="32"/>
      <c r="H22" s="33"/>
      <c r="I22" s="32"/>
      <c r="J22" s="55" t="s">
        <v>302</v>
      </c>
      <c r="K22" s="56">
        <v>3560.98</v>
      </c>
      <c r="L22" s="57">
        <v>3560.98</v>
      </c>
      <c r="M22" s="48">
        <f>L22-N22</f>
        <v>0</v>
      </c>
      <c r="N22" s="57">
        <v>3560.98</v>
      </c>
      <c r="O22" s="58"/>
      <c r="P22" s="58"/>
      <c r="Q22" s="70"/>
    </row>
    <row r="23" spans="1:17" ht="27.75" customHeight="1">
      <c r="A23" s="26"/>
      <c r="B23" s="27">
        <v>21012</v>
      </c>
      <c r="C23" s="28" t="s">
        <v>303</v>
      </c>
      <c r="D23" s="28"/>
      <c r="E23" s="28"/>
      <c r="F23" s="28"/>
      <c r="G23" s="28"/>
      <c r="H23" s="29"/>
      <c r="I23" s="28"/>
      <c r="J23" s="52"/>
      <c r="K23" s="53">
        <f>K24</f>
        <v>0</v>
      </c>
      <c r="L23" s="54">
        <f>L24</f>
        <v>0</v>
      </c>
      <c r="M23" s="48">
        <f>L23-N23</f>
        <v>40871.99</v>
      </c>
      <c r="N23" s="54">
        <f>N24</f>
        <v>-40871.99</v>
      </c>
      <c r="O23" s="60">
        <f>O24</f>
        <v>0</v>
      </c>
      <c r="P23" s="60">
        <f>P24</f>
        <v>0</v>
      </c>
      <c r="Q23" s="65"/>
    </row>
    <row r="24" spans="1:17" ht="21">
      <c r="A24" s="36" t="s">
        <v>304</v>
      </c>
      <c r="B24" s="31">
        <v>2101202</v>
      </c>
      <c r="C24" s="32" t="s">
        <v>305</v>
      </c>
      <c r="D24" s="32"/>
      <c r="E24" s="32"/>
      <c r="F24" s="32"/>
      <c r="G24" s="32"/>
      <c r="H24" s="33"/>
      <c r="I24" s="32"/>
      <c r="J24" s="55" t="s">
        <v>306</v>
      </c>
      <c r="K24" s="56"/>
      <c r="L24" s="57"/>
      <c r="M24" s="48">
        <f>L24-N24</f>
        <v>40871.99</v>
      </c>
      <c r="N24" s="57">
        <v>-40871.99</v>
      </c>
      <c r="O24" s="58"/>
      <c r="P24" s="58"/>
      <c r="Q24" s="70"/>
    </row>
    <row r="25" spans="1:17" ht="27.75" customHeight="1">
      <c r="A25" s="23"/>
      <c r="B25" s="24">
        <v>211</v>
      </c>
      <c r="C25" s="24" t="s">
        <v>307</v>
      </c>
      <c r="D25" s="24"/>
      <c r="E25" s="25"/>
      <c r="F25" s="24"/>
      <c r="G25" s="25"/>
      <c r="H25" s="25"/>
      <c r="I25" s="25"/>
      <c r="J25" s="49"/>
      <c r="K25" s="59">
        <f aca="true" t="shared" si="7" ref="K25:P25">K26</f>
        <v>4650</v>
      </c>
      <c r="L25" s="51">
        <f t="shared" si="7"/>
        <v>4650</v>
      </c>
      <c r="M25" s="51">
        <f t="shared" si="7"/>
        <v>0</v>
      </c>
      <c r="N25" s="51">
        <f t="shared" si="7"/>
        <v>4650</v>
      </c>
      <c r="O25" s="59">
        <f t="shared" si="7"/>
        <v>0</v>
      </c>
      <c r="P25" s="59">
        <f t="shared" si="7"/>
        <v>0</v>
      </c>
      <c r="Q25" s="64"/>
    </row>
    <row r="26" spans="1:17" ht="27.75" customHeight="1">
      <c r="A26" s="26"/>
      <c r="B26" s="27">
        <v>21103</v>
      </c>
      <c r="C26" s="28" t="s">
        <v>308</v>
      </c>
      <c r="D26" s="28"/>
      <c r="E26" s="28"/>
      <c r="F26" s="28"/>
      <c r="G26" s="28"/>
      <c r="H26" s="29"/>
      <c r="I26" s="28"/>
      <c r="J26" s="52"/>
      <c r="K26" s="53">
        <f aca="true" t="shared" si="8" ref="K26:P26">SUM(K27:K28)</f>
        <v>4650</v>
      </c>
      <c r="L26" s="54">
        <f t="shared" si="8"/>
        <v>4650</v>
      </c>
      <c r="M26" s="54">
        <f t="shared" si="8"/>
        <v>0</v>
      </c>
      <c r="N26" s="54">
        <f t="shared" si="8"/>
        <v>4650</v>
      </c>
      <c r="O26" s="53">
        <f t="shared" si="8"/>
        <v>0</v>
      </c>
      <c r="P26" s="53">
        <f t="shared" si="8"/>
        <v>0</v>
      </c>
      <c r="Q26" s="65"/>
    </row>
    <row r="27" spans="1:17" ht="27.75" customHeight="1">
      <c r="A27" s="34"/>
      <c r="B27" s="31">
        <v>2110302</v>
      </c>
      <c r="C27" s="32" t="s">
        <v>247</v>
      </c>
      <c r="D27" s="32"/>
      <c r="E27" s="32"/>
      <c r="F27" s="32"/>
      <c r="G27" s="32"/>
      <c r="H27" s="33"/>
      <c r="I27" s="32"/>
      <c r="J27" s="55" t="s">
        <v>309</v>
      </c>
      <c r="K27" s="56">
        <v>650</v>
      </c>
      <c r="L27" s="57">
        <v>650</v>
      </c>
      <c r="M27" s="48">
        <f>L27-N27</f>
        <v>0</v>
      </c>
      <c r="N27" s="57">
        <v>650</v>
      </c>
      <c r="O27" s="58"/>
      <c r="P27" s="58"/>
      <c r="Q27" s="67"/>
    </row>
    <row r="28" spans="1:17" ht="27.75" customHeight="1">
      <c r="A28" s="30" t="s">
        <v>284</v>
      </c>
      <c r="B28" s="31">
        <v>2110399</v>
      </c>
      <c r="C28" s="32" t="s">
        <v>310</v>
      </c>
      <c r="D28" s="32"/>
      <c r="E28" s="32"/>
      <c r="F28" s="32"/>
      <c r="G28" s="32"/>
      <c r="H28" s="33"/>
      <c r="I28" s="32"/>
      <c r="J28" s="55" t="s">
        <v>311</v>
      </c>
      <c r="K28" s="56">
        <v>4000</v>
      </c>
      <c r="L28" s="57">
        <v>4000</v>
      </c>
      <c r="M28" s="48">
        <f aca="true" t="shared" si="9" ref="M28:M48">L28-N28</f>
        <v>0</v>
      </c>
      <c r="N28" s="57">
        <v>4000</v>
      </c>
      <c r="O28" s="58"/>
      <c r="P28" s="58"/>
      <c r="Q28" s="67"/>
    </row>
    <row r="29" spans="1:17" ht="27.75" customHeight="1">
      <c r="A29" s="23"/>
      <c r="B29" s="24">
        <v>212</v>
      </c>
      <c r="C29" s="24" t="s">
        <v>312</v>
      </c>
      <c r="D29" s="24"/>
      <c r="E29" s="25"/>
      <c r="F29" s="24"/>
      <c r="G29" s="25"/>
      <c r="H29" s="25"/>
      <c r="I29" s="25"/>
      <c r="J29" s="49"/>
      <c r="K29" s="59">
        <f aca="true" t="shared" si="10" ref="K29:P29">K30+K32</f>
        <v>595</v>
      </c>
      <c r="L29" s="51">
        <f t="shared" si="10"/>
        <v>595</v>
      </c>
      <c r="M29" s="51">
        <f t="shared" si="10"/>
        <v>0</v>
      </c>
      <c r="N29" s="51">
        <f t="shared" si="10"/>
        <v>595</v>
      </c>
      <c r="O29" s="59">
        <f t="shared" si="10"/>
        <v>0</v>
      </c>
      <c r="P29" s="59">
        <f t="shared" si="10"/>
        <v>0</v>
      </c>
      <c r="Q29" s="64"/>
    </row>
    <row r="30" spans="1:17" ht="27.75" customHeight="1">
      <c r="A30" s="26"/>
      <c r="B30" s="27">
        <v>21205</v>
      </c>
      <c r="C30" s="28" t="s">
        <v>254</v>
      </c>
      <c r="D30" s="28"/>
      <c r="E30" s="28"/>
      <c r="F30" s="28"/>
      <c r="G30" s="28"/>
      <c r="H30" s="29"/>
      <c r="I30" s="28"/>
      <c r="J30" s="52"/>
      <c r="K30" s="53">
        <f>SUM(K31:K31)</f>
        <v>225</v>
      </c>
      <c r="L30" s="54">
        <f>SUM(L31:L31)</f>
        <v>225</v>
      </c>
      <c r="M30" s="48">
        <f t="shared" si="9"/>
        <v>0</v>
      </c>
      <c r="N30" s="54">
        <f>SUM(N31:N31)</f>
        <v>225</v>
      </c>
      <c r="O30" s="60">
        <f>SUM(O31:O31)</f>
        <v>0</v>
      </c>
      <c r="P30" s="60"/>
      <c r="Q30" s="65"/>
    </row>
    <row r="31" spans="1:17" ht="27.75" customHeight="1">
      <c r="A31" s="37"/>
      <c r="B31" s="31">
        <v>2120501</v>
      </c>
      <c r="C31" s="31" t="s">
        <v>254</v>
      </c>
      <c r="D31" s="32"/>
      <c r="E31" s="32"/>
      <c r="F31" s="32"/>
      <c r="G31" s="32"/>
      <c r="H31" s="33"/>
      <c r="I31" s="32"/>
      <c r="J31" s="55" t="s">
        <v>313</v>
      </c>
      <c r="K31" s="56">
        <v>225</v>
      </c>
      <c r="L31" s="57">
        <v>225</v>
      </c>
      <c r="M31" s="48">
        <f t="shared" si="9"/>
        <v>0</v>
      </c>
      <c r="N31" s="57">
        <v>225</v>
      </c>
      <c r="O31" s="58"/>
      <c r="P31" s="58"/>
      <c r="Q31" s="67"/>
    </row>
    <row r="32" spans="1:17" ht="27.75" customHeight="1">
      <c r="A32" s="26"/>
      <c r="B32" s="27">
        <v>21299</v>
      </c>
      <c r="C32" s="28" t="s">
        <v>314</v>
      </c>
      <c r="D32" s="28"/>
      <c r="E32" s="28"/>
      <c r="F32" s="28"/>
      <c r="G32" s="28"/>
      <c r="H32" s="29"/>
      <c r="I32" s="28"/>
      <c r="J32" s="52"/>
      <c r="K32" s="53">
        <f aca="true" t="shared" si="11" ref="K32:P32">SUM(K33:K33)</f>
        <v>370</v>
      </c>
      <c r="L32" s="54">
        <f t="shared" si="11"/>
        <v>370</v>
      </c>
      <c r="M32" s="54">
        <f t="shared" si="11"/>
        <v>0</v>
      </c>
      <c r="N32" s="54">
        <f t="shared" si="11"/>
        <v>370</v>
      </c>
      <c r="O32" s="60">
        <f t="shared" si="11"/>
        <v>0</v>
      </c>
      <c r="P32" s="60">
        <f t="shared" si="11"/>
        <v>0</v>
      </c>
      <c r="Q32" s="65"/>
    </row>
    <row r="33" spans="1:17" ht="27.75" customHeight="1">
      <c r="A33" s="36" t="s">
        <v>300</v>
      </c>
      <c r="B33" s="31">
        <v>2129999</v>
      </c>
      <c r="C33" s="31" t="s">
        <v>314</v>
      </c>
      <c r="D33" s="32"/>
      <c r="E33" s="32"/>
      <c r="F33" s="32"/>
      <c r="G33" s="32"/>
      <c r="H33" s="33"/>
      <c r="I33" s="32"/>
      <c r="J33" s="55" t="s">
        <v>315</v>
      </c>
      <c r="K33" s="56">
        <v>370</v>
      </c>
      <c r="L33" s="57">
        <v>370</v>
      </c>
      <c r="M33" s="48">
        <f t="shared" si="9"/>
        <v>0</v>
      </c>
      <c r="N33" s="57">
        <v>370</v>
      </c>
      <c r="O33" s="58"/>
      <c r="P33" s="58"/>
      <c r="Q33" s="70"/>
    </row>
    <row r="34" spans="1:17" ht="27.75" customHeight="1">
      <c r="A34" s="23"/>
      <c r="B34" s="24">
        <v>213</v>
      </c>
      <c r="C34" s="24" t="s">
        <v>316</v>
      </c>
      <c r="D34" s="24"/>
      <c r="E34" s="25"/>
      <c r="F34" s="24"/>
      <c r="G34" s="25"/>
      <c r="H34" s="25"/>
      <c r="I34" s="25"/>
      <c r="J34" s="49"/>
      <c r="K34" s="59">
        <f aca="true" t="shared" si="12" ref="K34:P34">K35+K37</f>
        <v>1398.88</v>
      </c>
      <c r="L34" s="51">
        <f t="shared" si="12"/>
        <v>1398.88</v>
      </c>
      <c r="M34" s="51">
        <f t="shared" si="12"/>
        <v>0</v>
      </c>
      <c r="N34" s="51">
        <f t="shared" si="12"/>
        <v>1398.88</v>
      </c>
      <c r="O34" s="59">
        <f t="shared" si="12"/>
        <v>0</v>
      </c>
      <c r="P34" s="59">
        <f t="shared" si="12"/>
        <v>0</v>
      </c>
      <c r="Q34" s="64"/>
    </row>
    <row r="35" spans="1:17" ht="27.75" customHeight="1">
      <c r="A35" s="26"/>
      <c r="B35" s="27">
        <v>21301</v>
      </c>
      <c r="C35" s="28" t="s">
        <v>317</v>
      </c>
      <c r="D35" s="28"/>
      <c r="E35" s="28"/>
      <c r="F35" s="28"/>
      <c r="G35" s="28"/>
      <c r="H35" s="29"/>
      <c r="I35" s="28"/>
      <c r="J35" s="52"/>
      <c r="K35" s="53">
        <f aca="true" t="shared" si="13" ref="K35:P35">SUM(K36)</f>
        <v>1000</v>
      </c>
      <c r="L35" s="54">
        <f t="shared" si="13"/>
        <v>1000</v>
      </c>
      <c r="M35" s="54">
        <f t="shared" si="13"/>
        <v>0</v>
      </c>
      <c r="N35" s="54">
        <f t="shared" si="13"/>
        <v>1000</v>
      </c>
      <c r="O35" s="60">
        <f t="shared" si="13"/>
        <v>0</v>
      </c>
      <c r="P35" s="60">
        <f t="shared" si="13"/>
        <v>0</v>
      </c>
      <c r="Q35" s="65"/>
    </row>
    <row r="36" spans="1:17" ht="27.75" customHeight="1">
      <c r="A36" s="37"/>
      <c r="B36" s="31">
        <v>2130199</v>
      </c>
      <c r="C36" s="31" t="s">
        <v>318</v>
      </c>
      <c r="D36" s="31"/>
      <c r="E36" s="38"/>
      <c r="F36" s="31"/>
      <c r="G36" s="38"/>
      <c r="H36" s="38"/>
      <c r="I36" s="38"/>
      <c r="J36" s="55" t="s">
        <v>319</v>
      </c>
      <c r="K36" s="56">
        <v>1000</v>
      </c>
      <c r="L36" s="57">
        <v>1000</v>
      </c>
      <c r="M36" s="48">
        <f t="shared" si="9"/>
        <v>0</v>
      </c>
      <c r="N36" s="57">
        <v>1000</v>
      </c>
      <c r="O36" s="58"/>
      <c r="P36" s="58"/>
      <c r="Q36" s="67"/>
    </row>
    <row r="37" spans="1:17" ht="27.75" customHeight="1">
      <c r="A37" s="26"/>
      <c r="B37" s="27">
        <v>21303</v>
      </c>
      <c r="C37" s="28" t="s">
        <v>320</v>
      </c>
      <c r="D37" s="28"/>
      <c r="E37" s="28"/>
      <c r="F37" s="28"/>
      <c r="G37" s="28"/>
      <c r="H37" s="29"/>
      <c r="I37" s="28"/>
      <c r="J37" s="52"/>
      <c r="K37" s="53">
        <f>SUM(K38:K38)</f>
        <v>398.88</v>
      </c>
      <c r="L37" s="54">
        <f>SUM(L38:L38)</f>
        <v>398.88</v>
      </c>
      <c r="M37" s="48">
        <f t="shared" si="9"/>
        <v>0</v>
      </c>
      <c r="N37" s="54">
        <f>SUM(N38:N38)</f>
        <v>398.88</v>
      </c>
      <c r="O37" s="60">
        <f>SUM(O38:O38)</f>
        <v>0</v>
      </c>
      <c r="P37" s="60">
        <f>SUM(P38:P38)</f>
        <v>0</v>
      </c>
      <c r="Q37" s="65"/>
    </row>
    <row r="38" spans="1:17" ht="27.75" customHeight="1">
      <c r="A38" s="37" t="s">
        <v>321</v>
      </c>
      <c r="B38" s="31">
        <v>2130399</v>
      </c>
      <c r="C38" s="32" t="s">
        <v>322</v>
      </c>
      <c r="D38" s="32"/>
      <c r="E38" s="32"/>
      <c r="F38" s="32"/>
      <c r="G38" s="32"/>
      <c r="H38" s="33"/>
      <c r="I38" s="32"/>
      <c r="J38" s="55" t="s">
        <v>323</v>
      </c>
      <c r="K38" s="56">
        <v>398.88</v>
      </c>
      <c r="L38" s="57">
        <v>398.88</v>
      </c>
      <c r="M38" s="48">
        <f t="shared" si="9"/>
        <v>0</v>
      </c>
      <c r="N38" s="57">
        <v>398.88</v>
      </c>
      <c r="O38" s="58"/>
      <c r="P38" s="58"/>
      <c r="Q38" s="67"/>
    </row>
    <row r="39" spans="1:17" ht="27.75" customHeight="1">
      <c r="A39" s="23"/>
      <c r="B39" s="24">
        <v>214</v>
      </c>
      <c r="C39" s="24" t="s">
        <v>324</v>
      </c>
      <c r="D39" s="24"/>
      <c r="E39" s="25"/>
      <c r="F39" s="24"/>
      <c r="G39" s="25"/>
      <c r="H39" s="25"/>
      <c r="I39" s="25"/>
      <c r="J39" s="49"/>
      <c r="K39" s="59">
        <f aca="true" t="shared" si="14" ref="K39:P39">K40</f>
        <v>120</v>
      </c>
      <c r="L39" s="51">
        <f t="shared" si="14"/>
        <v>120</v>
      </c>
      <c r="M39" s="51">
        <f t="shared" si="14"/>
        <v>500</v>
      </c>
      <c r="N39" s="51">
        <f t="shared" si="14"/>
        <v>-380</v>
      </c>
      <c r="O39" s="59">
        <f t="shared" si="14"/>
        <v>0</v>
      </c>
      <c r="P39" s="59">
        <f t="shared" si="14"/>
        <v>0</v>
      </c>
      <c r="Q39" s="64"/>
    </row>
    <row r="40" spans="1:17" ht="27.75" customHeight="1">
      <c r="A40" s="26"/>
      <c r="B40" s="27">
        <v>21401</v>
      </c>
      <c r="C40" s="28" t="s">
        <v>325</v>
      </c>
      <c r="D40" s="28"/>
      <c r="E40" s="28"/>
      <c r="F40" s="28"/>
      <c r="G40" s="28"/>
      <c r="H40" s="29"/>
      <c r="I40" s="28"/>
      <c r="J40" s="52"/>
      <c r="K40" s="53">
        <f aca="true" t="shared" si="15" ref="K40:P40">SUM(K41:K42)</f>
        <v>120</v>
      </c>
      <c r="L40" s="54">
        <f t="shared" si="15"/>
        <v>120</v>
      </c>
      <c r="M40" s="54">
        <f t="shared" si="15"/>
        <v>500</v>
      </c>
      <c r="N40" s="54">
        <f t="shared" si="15"/>
        <v>-380</v>
      </c>
      <c r="O40" s="53">
        <f t="shared" si="15"/>
        <v>0</v>
      </c>
      <c r="P40" s="53">
        <f t="shared" si="15"/>
        <v>0</v>
      </c>
      <c r="Q40" s="65"/>
    </row>
    <row r="41" spans="1:17" s="1" customFormat="1" ht="27.75" customHeight="1">
      <c r="A41" s="30" t="s">
        <v>284</v>
      </c>
      <c r="B41" s="31">
        <v>2140104</v>
      </c>
      <c r="C41" s="32" t="s">
        <v>234</v>
      </c>
      <c r="D41" s="32"/>
      <c r="E41" s="32"/>
      <c r="F41" s="32"/>
      <c r="G41" s="32"/>
      <c r="H41" s="33"/>
      <c r="I41" s="32"/>
      <c r="J41" s="55" t="s">
        <v>326</v>
      </c>
      <c r="K41" s="56">
        <v>120</v>
      </c>
      <c r="L41" s="57">
        <v>120</v>
      </c>
      <c r="M41" s="48">
        <f t="shared" si="9"/>
        <v>0</v>
      </c>
      <c r="N41" s="57">
        <v>120</v>
      </c>
      <c r="O41" s="58"/>
      <c r="P41" s="58"/>
      <c r="Q41" s="66"/>
    </row>
    <row r="42" spans="1:17" ht="27.75" customHeight="1">
      <c r="A42" s="30" t="s">
        <v>284</v>
      </c>
      <c r="B42" s="31">
        <v>2140104</v>
      </c>
      <c r="C42" s="32" t="s">
        <v>234</v>
      </c>
      <c r="D42" s="32"/>
      <c r="E42" s="32"/>
      <c r="F42" s="32"/>
      <c r="G42" s="32"/>
      <c r="H42" s="33"/>
      <c r="I42" s="32"/>
      <c r="J42" s="55" t="s">
        <v>327</v>
      </c>
      <c r="K42" s="56"/>
      <c r="L42" s="57"/>
      <c r="M42" s="48">
        <f t="shared" si="9"/>
        <v>500</v>
      </c>
      <c r="N42" s="57">
        <v>-500</v>
      </c>
      <c r="O42" s="58"/>
      <c r="P42" s="58"/>
      <c r="Q42" s="67"/>
    </row>
    <row r="43" spans="1:17" ht="27.75" customHeight="1">
      <c r="A43" s="23"/>
      <c r="B43" s="24">
        <v>224</v>
      </c>
      <c r="C43" s="24" t="s">
        <v>328</v>
      </c>
      <c r="D43" s="24"/>
      <c r="E43" s="25"/>
      <c r="F43" s="24"/>
      <c r="G43" s="25"/>
      <c r="H43" s="25"/>
      <c r="I43" s="25"/>
      <c r="J43" s="49"/>
      <c r="K43" s="59">
        <f aca="true" t="shared" si="16" ref="K43:P43">K44</f>
        <v>0</v>
      </c>
      <c r="L43" s="51">
        <f t="shared" si="16"/>
        <v>0</v>
      </c>
      <c r="M43" s="51">
        <f t="shared" si="16"/>
        <v>500</v>
      </c>
      <c r="N43" s="51">
        <f t="shared" si="16"/>
        <v>-500</v>
      </c>
      <c r="O43" s="59">
        <f t="shared" si="16"/>
        <v>0</v>
      </c>
      <c r="P43" s="59">
        <f t="shared" si="16"/>
        <v>0</v>
      </c>
      <c r="Q43" s="64"/>
    </row>
    <row r="44" spans="1:17" ht="27.75" customHeight="1">
      <c r="A44" s="26"/>
      <c r="B44" s="27">
        <v>22402</v>
      </c>
      <c r="C44" s="28" t="s">
        <v>329</v>
      </c>
      <c r="D44" s="28"/>
      <c r="E44" s="28"/>
      <c r="F44" s="28"/>
      <c r="G44" s="28"/>
      <c r="H44" s="29"/>
      <c r="I44" s="28"/>
      <c r="J44" s="52"/>
      <c r="K44" s="53">
        <f>SUM(K45)</f>
        <v>0</v>
      </c>
      <c r="L44" s="54">
        <f>SUM(L45)</f>
        <v>0</v>
      </c>
      <c r="M44" s="48">
        <f t="shared" si="9"/>
        <v>500</v>
      </c>
      <c r="N44" s="54">
        <f>SUM(N45)</f>
        <v>-500</v>
      </c>
      <c r="O44" s="60">
        <f>SUM(O45)</f>
        <v>0</v>
      </c>
      <c r="P44" s="60"/>
      <c r="Q44" s="65"/>
    </row>
    <row r="45" spans="1:17" ht="27.75" customHeight="1">
      <c r="A45" s="30" t="s">
        <v>284</v>
      </c>
      <c r="B45" s="31">
        <v>2240299</v>
      </c>
      <c r="C45" s="32" t="s">
        <v>240</v>
      </c>
      <c r="D45" s="32"/>
      <c r="E45" s="32"/>
      <c r="F45" s="32"/>
      <c r="G45" s="32"/>
      <c r="H45" s="33"/>
      <c r="I45" s="32"/>
      <c r="J45" s="55" t="s">
        <v>330</v>
      </c>
      <c r="K45" s="56"/>
      <c r="L45" s="57"/>
      <c r="M45" s="48">
        <f t="shared" si="9"/>
        <v>500</v>
      </c>
      <c r="N45" s="57">
        <v>-500</v>
      </c>
      <c r="O45" s="58"/>
      <c r="P45" s="58"/>
      <c r="Q45" s="67"/>
    </row>
    <row r="46" spans="1:17" ht="27.75" customHeight="1">
      <c r="A46" s="23"/>
      <c r="B46" s="24">
        <v>229</v>
      </c>
      <c r="C46" s="24" t="s">
        <v>331</v>
      </c>
      <c r="D46" s="24"/>
      <c r="E46" s="25"/>
      <c r="F46" s="24"/>
      <c r="G46" s="25"/>
      <c r="H46" s="25"/>
      <c r="I46" s="25"/>
      <c r="J46" s="49"/>
      <c r="K46" s="59">
        <f aca="true" t="shared" si="17" ref="K46:P46">K47</f>
        <v>0</v>
      </c>
      <c r="L46" s="51">
        <f t="shared" si="17"/>
        <v>0</v>
      </c>
      <c r="M46" s="51">
        <f t="shared" si="17"/>
        <v>4758.09</v>
      </c>
      <c r="N46" s="51">
        <f t="shared" si="17"/>
        <v>-4758.09</v>
      </c>
      <c r="O46" s="59">
        <f t="shared" si="17"/>
        <v>0</v>
      </c>
      <c r="P46" s="59">
        <f t="shared" si="17"/>
        <v>0</v>
      </c>
      <c r="Q46" s="64"/>
    </row>
    <row r="47" spans="1:17" ht="27.75" customHeight="1">
      <c r="A47" s="26"/>
      <c r="B47" s="27">
        <v>22902</v>
      </c>
      <c r="C47" s="28" t="s">
        <v>332</v>
      </c>
      <c r="D47" s="28"/>
      <c r="E47" s="28"/>
      <c r="F47" s="28"/>
      <c r="G47" s="28"/>
      <c r="H47" s="29"/>
      <c r="I47" s="28"/>
      <c r="J47" s="52"/>
      <c r="K47" s="53">
        <f>K48</f>
        <v>0</v>
      </c>
      <c r="L47" s="54">
        <f>L48</f>
        <v>0</v>
      </c>
      <c r="M47" s="48">
        <f t="shared" si="9"/>
        <v>4758.09</v>
      </c>
      <c r="N47" s="54">
        <f>N48</f>
        <v>-4758.09</v>
      </c>
      <c r="O47" s="60">
        <f>O48</f>
        <v>0</v>
      </c>
      <c r="P47" s="60">
        <f>P48</f>
        <v>0</v>
      </c>
      <c r="Q47" s="65"/>
    </row>
    <row r="48" spans="1:17" ht="27.75" customHeight="1">
      <c r="A48" s="36" t="s">
        <v>300</v>
      </c>
      <c r="B48" s="31">
        <v>2290201</v>
      </c>
      <c r="C48" s="32" t="s">
        <v>332</v>
      </c>
      <c r="D48" s="32"/>
      <c r="E48" s="32"/>
      <c r="F48" s="32"/>
      <c r="G48" s="32"/>
      <c r="H48" s="33"/>
      <c r="I48" s="32"/>
      <c r="J48" s="55" t="s">
        <v>333</v>
      </c>
      <c r="K48" s="56"/>
      <c r="L48" s="57"/>
      <c r="M48" s="48">
        <f t="shared" si="9"/>
        <v>4758.09</v>
      </c>
      <c r="N48" s="57">
        <v>-4758.09</v>
      </c>
      <c r="O48" s="58"/>
      <c r="P48" s="58"/>
      <c r="Q48" s="70"/>
    </row>
    <row r="49" ht="27.75" customHeight="1"/>
    <row r="50" ht="30.75" customHeight="1">
      <c r="J50" s="6"/>
    </row>
    <row r="51" ht="30.75" customHeight="1">
      <c r="J51" s="6"/>
    </row>
    <row r="52" ht="30.75" customHeight="1">
      <c r="J52" s="6"/>
    </row>
    <row r="53" ht="30.75" customHeight="1">
      <c r="J53" s="6"/>
    </row>
    <row r="54" ht="30.75" customHeight="1">
      <c r="J54" s="6"/>
    </row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</sheetData>
  <sheetProtection/>
  <mergeCells count="15">
    <mergeCell ref="B1:C1"/>
    <mergeCell ref="A2:O2"/>
    <mergeCell ref="L3:O3"/>
    <mergeCell ref="O4:P4"/>
    <mergeCell ref="D5:E5"/>
    <mergeCell ref="A4:A5"/>
    <mergeCell ref="F4:F5"/>
    <mergeCell ref="I4:I5"/>
    <mergeCell ref="J4:J5"/>
    <mergeCell ref="K4:K5"/>
    <mergeCell ref="L4:L5"/>
    <mergeCell ref="M4:M5"/>
    <mergeCell ref="N4:N5"/>
    <mergeCell ref="Q4:Q5"/>
    <mergeCell ref="B4:C5"/>
  </mergeCells>
  <printOptions horizontalCentered="1"/>
  <pageMargins left="0.55" right="0.55" top="0.61" bottom="0.61" header="0.51" footer="0.51"/>
  <pageSetup firstPageNumber="11" useFirstPageNumber="1" horizontalDpi="600" verticalDpi="600" orientation="portrait" paperSize="9"/>
  <headerFooter scaleWithDoc="0" alignWithMargins="0">
    <oddFooter>&amp;L&amp;"宋体"&amp;9&amp;C&amp;"宋体"&amp;9 &amp;P&amp;R&amp;"宋体"&amp;9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2022-10-14T02:27:50Z</cp:lastPrinted>
  <dcterms:created xsi:type="dcterms:W3CDTF">2019-10-14T06:46:03Z</dcterms:created>
  <dcterms:modified xsi:type="dcterms:W3CDTF">2023-12-27T07:27:18Z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I">
    <vt:lpwstr>0AE9C27119024B5F92EDCADF7E67A5AD</vt:lpwstr>
  </property>
</Properties>
</file>